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_pielikums_kopsavilkums" sheetId="1" r:id="rId1"/>
    <sheet name="1_pielikums_Funkcionālās_kateg" sheetId="2" state="hidden" r:id="rId2"/>
  </sheet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63" i="1" l="1"/>
  <c r="X64" i="1"/>
  <c r="X65" i="1"/>
  <c r="X66" i="1"/>
  <c r="X62" i="1"/>
  <c r="X51" i="1"/>
  <c r="X52" i="1"/>
  <c r="X53" i="1"/>
  <c r="X54" i="1"/>
  <c r="X55" i="1"/>
  <c r="X56" i="1"/>
  <c r="X58" i="1"/>
  <c r="X36" i="1"/>
  <c r="X37" i="1"/>
  <c r="X38" i="1"/>
  <c r="X39" i="1"/>
  <c r="X40" i="1"/>
  <c r="X42" i="1"/>
  <c r="X43" i="1"/>
  <c r="X44" i="1"/>
  <c r="X45" i="1"/>
  <c r="X46" i="1"/>
  <c r="X47" i="1"/>
  <c r="X35" i="1"/>
  <c r="X10" i="1"/>
  <c r="X11" i="1"/>
  <c r="X12" i="1"/>
  <c r="X14" i="1"/>
  <c r="X15" i="1"/>
  <c r="X16" i="1"/>
  <c r="X17" i="1"/>
  <c r="X18" i="1"/>
  <c r="X19" i="1"/>
  <c r="X20" i="1"/>
  <c r="X21" i="1"/>
  <c r="X22" i="1"/>
  <c r="X24" i="1"/>
  <c r="X25" i="1"/>
  <c r="X26" i="1"/>
  <c r="X28" i="1"/>
  <c r="X30" i="1"/>
  <c r="X31" i="1"/>
  <c r="Y10" i="1"/>
  <c r="Y11" i="1"/>
  <c r="Y12" i="1"/>
  <c r="Y14" i="1"/>
  <c r="Y15" i="1"/>
  <c r="Y16" i="1"/>
  <c r="Y17" i="1"/>
  <c r="Y18" i="1"/>
  <c r="Y19" i="1"/>
  <c r="Y20" i="1"/>
  <c r="Y21" i="1"/>
  <c r="Y22" i="1"/>
  <c r="Y24" i="1"/>
  <c r="Y25" i="1"/>
  <c r="Y26" i="1"/>
  <c r="Y28" i="1"/>
  <c r="Y30" i="1"/>
  <c r="Y31" i="1"/>
  <c r="F63" i="1"/>
  <c r="F66" i="1"/>
  <c r="F62" i="1"/>
  <c r="K63" i="1" l="1"/>
  <c r="K64" i="1"/>
  <c r="K65" i="1"/>
  <c r="K62" i="1"/>
  <c r="Y63" i="1"/>
  <c r="Y64" i="1"/>
  <c r="Y65" i="1"/>
  <c r="Y66" i="1"/>
  <c r="Y62" i="1"/>
  <c r="Y58" i="1"/>
  <c r="Y57" i="1"/>
  <c r="Y56" i="1"/>
  <c r="Y55" i="1"/>
  <c r="Y54" i="1"/>
  <c r="Y53" i="1"/>
  <c r="Y52" i="1"/>
  <c r="Y51" i="1"/>
  <c r="Y50" i="1"/>
  <c r="Y36" i="1"/>
  <c r="Y37" i="1"/>
  <c r="Y38" i="1"/>
  <c r="Y39" i="1"/>
  <c r="Y40" i="1"/>
  <c r="Y42" i="1"/>
  <c r="Y43" i="1"/>
  <c r="Y44" i="1"/>
  <c r="Y45" i="1"/>
  <c r="Y46" i="1"/>
  <c r="Y47" i="1"/>
  <c r="Y35" i="1"/>
  <c r="U51" i="1"/>
  <c r="U52" i="1"/>
  <c r="U53" i="1"/>
  <c r="U54" i="1"/>
  <c r="U55" i="1"/>
  <c r="U56" i="1"/>
  <c r="U57" i="1"/>
  <c r="U58" i="1"/>
  <c r="P36" i="1"/>
  <c r="P37" i="1"/>
  <c r="P38" i="1"/>
  <c r="P39" i="1"/>
  <c r="P40" i="1"/>
  <c r="P42" i="1"/>
  <c r="P43" i="1"/>
  <c r="P44" i="1"/>
  <c r="P45" i="1"/>
  <c r="P46" i="1"/>
  <c r="P47" i="1"/>
  <c r="P35" i="1"/>
  <c r="K51" i="1"/>
  <c r="K52" i="1"/>
  <c r="K53" i="1"/>
  <c r="K55" i="1"/>
  <c r="K56" i="1"/>
  <c r="K57" i="1"/>
  <c r="K58" i="1"/>
  <c r="K50" i="1"/>
  <c r="K36" i="1"/>
  <c r="K38" i="1"/>
  <c r="K39" i="1"/>
  <c r="K40" i="1"/>
  <c r="K42" i="1"/>
  <c r="K43" i="1"/>
  <c r="K44" i="1"/>
  <c r="K45" i="1"/>
  <c r="K46" i="1"/>
  <c r="K47" i="1"/>
  <c r="K35" i="1"/>
  <c r="K10" i="1"/>
  <c r="K11" i="1"/>
  <c r="K12" i="1"/>
  <c r="K14" i="1"/>
  <c r="K15" i="1"/>
  <c r="K16" i="1"/>
  <c r="K17" i="1"/>
  <c r="K18" i="1"/>
  <c r="K19" i="1"/>
  <c r="K20" i="1"/>
  <c r="K21" i="1"/>
  <c r="K22" i="1"/>
  <c r="K24" i="1"/>
  <c r="K26" i="1"/>
  <c r="K28" i="1"/>
  <c r="K30" i="1"/>
  <c r="K31" i="1"/>
  <c r="P10" i="1"/>
  <c r="P11" i="1"/>
  <c r="P12" i="1"/>
  <c r="P14" i="1"/>
  <c r="P15" i="1"/>
  <c r="P16" i="1"/>
  <c r="P17" i="1"/>
  <c r="P18" i="1"/>
  <c r="P19" i="1"/>
  <c r="P20" i="1"/>
  <c r="P21" i="1"/>
  <c r="P22" i="1"/>
  <c r="P24" i="1"/>
  <c r="P25" i="1"/>
  <c r="P26" i="1"/>
  <c r="P28" i="1"/>
  <c r="P30" i="1"/>
  <c r="P31" i="1"/>
  <c r="E59" i="1"/>
  <c r="H59" i="1"/>
  <c r="I59" i="1"/>
  <c r="J59" i="1"/>
  <c r="L59" i="1"/>
  <c r="M59" i="1"/>
  <c r="N59" i="1"/>
  <c r="O59" i="1"/>
  <c r="Q59" i="1"/>
  <c r="R59" i="1"/>
  <c r="S59" i="1"/>
  <c r="T59" i="1"/>
  <c r="F51" i="1"/>
  <c r="F53" i="1"/>
  <c r="F55" i="1"/>
  <c r="F56" i="1"/>
  <c r="F58" i="1"/>
  <c r="F37" i="1"/>
  <c r="F38" i="1"/>
  <c r="F40" i="1"/>
  <c r="F42" i="1"/>
  <c r="F43" i="1"/>
  <c r="F44" i="1"/>
  <c r="F45" i="1"/>
  <c r="F46" i="1"/>
  <c r="F47" i="1"/>
  <c r="F35" i="1"/>
  <c r="F10" i="1"/>
  <c r="F11" i="1"/>
  <c r="F12" i="1"/>
  <c r="F14" i="1"/>
  <c r="F15" i="1"/>
  <c r="F16" i="1"/>
  <c r="F17" i="1"/>
  <c r="F18" i="1"/>
  <c r="F19" i="1"/>
  <c r="F20" i="1"/>
  <c r="F21" i="1"/>
  <c r="F22" i="1"/>
  <c r="F24" i="1"/>
  <c r="F25" i="1"/>
  <c r="F26" i="1"/>
  <c r="F28" i="1"/>
  <c r="F30" i="1"/>
  <c r="F31" i="1"/>
  <c r="S61" i="1"/>
  <c r="S41" i="1"/>
  <c r="S48" i="1" s="1"/>
  <c r="S29" i="1"/>
  <c r="S23" i="1"/>
  <c r="S13" i="1"/>
  <c r="S9" i="1"/>
  <c r="O61" i="1"/>
  <c r="O41" i="1"/>
  <c r="O48" i="1" s="1"/>
  <c r="O29" i="1"/>
  <c r="O27" i="1"/>
  <c r="O23" i="1"/>
  <c r="O32" i="1" s="1"/>
  <c r="O13" i="1"/>
  <c r="O9" i="1"/>
  <c r="J61" i="1"/>
  <c r="J41" i="1"/>
  <c r="J48" i="1" s="1"/>
  <c r="J29" i="1"/>
  <c r="J27" i="1"/>
  <c r="J23" i="1"/>
  <c r="J13" i="1"/>
  <c r="J9" i="1"/>
  <c r="E61" i="1"/>
  <c r="E41" i="1"/>
  <c r="E48" i="1" s="1"/>
  <c r="E29" i="1"/>
  <c r="E23" i="1"/>
  <c r="E13" i="1"/>
  <c r="E9" i="1"/>
  <c r="Y9" i="1" s="1"/>
  <c r="U63" i="1"/>
  <c r="U64" i="1"/>
  <c r="U65" i="1"/>
  <c r="U66" i="1"/>
  <c r="U67" i="1"/>
  <c r="U62" i="1"/>
  <c r="U50" i="1"/>
  <c r="U42" i="1"/>
  <c r="U43" i="1"/>
  <c r="U44" i="1"/>
  <c r="U45" i="1"/>
  <c r="U46" i="1"/>
  <c r="U47" i="1"/>
  <c r="U36" i="1"/>
  <c r="U37" i="1"/>
  <c r="U38" i="1"/>
  <c r="U39" i="1"/>
  <c r="U40" i="1"/>
  <c r="U35" i="1"/>
  <c r="U31" i="1"/>
  <c r="U30" i="1"/>
  <c r="U25" i="1"/>
  <c r="U26" i="1"/>
  <c r="U28" i="1"/>
  <c r="U24" i="1"/>
  <c r="U15" i="1"/>
  <c r="U16" i="1"/>
  <c r="U17" i="1"/>
  <c r="U18" i="1"/>
  <c r="U19" i="1"/>
  <c r="U20" i="1"/>
  <c r="U21" i="1"/>
  <c r="U22" i="1"/>
  <c r="U14" i="1"/>
  <c r="U11" i="1"/>
  <c r="U12" i="1"/>
  <c r="U10" i="1"/>
  <c r="P63" i="1"/>
  <c r="P64" i="1"/>
  <c r="P65" i="1"/>
  <c r="P66" i="1"/>
  <c r="P67" i="1"/>
  <c r="P62" i="1"/>
  <c r="P51" i="1"/>
  <c r="P52" i="1"/>
  <c r="P53" i="1"/>
  <c r="P54" i="1"/>
  <c r="P55" i="1"/>
  <c r="P56" i="1"/>
  <c r="P57" i="1"/>
  <c r="P58" i="1"/>
  <c r="P50" i="1"/>
  <c r="P59" i="1" s="1"/>
  <c r="D57" i="1"/>
  <c r="X57" i="1" s="1"/>
  <c r="D50" i="1"/>
  <c r="X50" i="1" s="1"/>
  <c r="T61" i="1"/>
  <c r="T41" i="1"/>
  <c r="T48" i="1" s="1"/>
  <c r="T29" i="1"/>
  <c r="T23" i="1"/>
  <c r="T13" i="1"/>
  <c r="T9" i="1"/>
  <c r="N61" i="1"/>
  <c r="N41" i="1"/>
  <c r="N48" i="1" s="1"/>
  <c r="N29" i="1"/>
  <c r="N27" i="1"/>
  <c r="N23" i="1"/>
  <c r="N13" i="1"/>
  <c r="N9" i="1"/>
  <c r="N32" i="1" s="1"/>
  <c r="I61" i="1"/>
  <c r="I41" i="1"/>
  <c r="I48" i="1" s="1"/>
  <c r="I29" i="1"/>
  <c r="I27" i="1"/>
  <c r="I23" i="1"/>
  <c r="I13" i="1"/>
  <c r="I32" i="1" s="1"/>
  <c r="I9" i="1"/>
  <c r="D61" i="1"/>
  <c r="D41" i="1"/>
  <c r="D48" i="1" s="1"/>
  <c r="D29" i="1"/>
  <c r="X29" i="1" s="1"/>
  <c r="D23" i="1"/>
  <c r="D13" i="1"/>
  <c r="D9" i="1"/>
  <c r="D32" i="1" s="1"/>
  <c r="C64" i="1"/>
  <c r="F64" i="1" s="1"/>
  <c r="C36" i="1"/>
  <c r="C54" i="1"/>
  <c r="C59" i="1" s="1"/>
  <c r="Y29" i="1" l="1"/>
  <c r="X23" i="1"/>
  <c r="Y23" i="1"/>
  <c r="F50" i="1"/>
  <c r="S32" i="1"/>
  <c r="S60" i="1" s="1"/>
  <c r="D59" i="1"/>
  <c r="X59" i="1" s="1"/>
  <c r="X9" i="1"/>
  <c r="X41" i="1"/>
  <c r="X48" i="1" s="1"/>
  <c r="X13" i="1"/>
  <c r="X27" i="1"/>
  <c r="Y13" i="1"/>
  <c r="Y27" i="1"/>
  <c r="Y32" i="1" s="1"/>
  <c r="F54" i="1"/>
  <c r="Y41" i="1"/>
  <c r="Y48" i="1" s="1"/>
  <c r="E32" i="1"/>
  <c r="J32" i="1"/>
  <c r="J60" i="1" s="1"/>
  <c r="J67" i="1" s="1"/>
  <c r="U59" i="1"/>
  <c r="T32" i="1"/>
  <c r="Y59" i="1"/>
  <c r="Y61" i="1"/>
  <c r="O60" i="1"/>
  <c r="T60" i="1"/>
  <c r="X61" i="1"/>
  <c r="I60" i="1"/>
  <c r="I67" i="1" s="1"/>
  <c r="N60" i="1"/>
  <c r="H25" i="1"/>
  <c r="K25" i="1" s="1"/>
  <c r="H66" i="1"/>
  <c r="K66" i="1" s="1"/>
  <c r="X32" i="1" l="1"/>
  <c r="X60" i="1"/>
  <c r="E60" i="1"/>
  <c r="E67" i="1" s="1"/>
  <c r="Y67" i="1" s="1"/>
  <c r="D60" i="1"/>
  <c r="D67" i="1" s="1"/>
  <c r="X67" i="1" s="1"/>
  <c r="M61" i="1"/>
  <c r="Q61" i="1"/>
  <c r="R61" i="1"/>
  <c r="C61" i="1"/>
  <c r="G61" i="1"/>
  <c r="H61" i="1"/>
  <c r="H41" i="1"/>
  <c r="H48" i="1" s="1"/>
  <c r="U61" i="1" l="1"/>
  <c r="R41" i="1"/>
  <c r="R48" i="1" s="1"/>
  <c r="R29" i="1"/>
  <c r="R23" i="1"/>
  <c r="R13" i="1"/>
  <c r="R9" i="1"/>
  <c r="R32" i="1" s="1"/>
  <c r="U9" i="1" l="1"/>
  <c r="U23" i="1"/>
  <c r="P61" i="1"/>
  <c r="U29" i="1"/>
  <c r="U13" i="1"/>
  <c r="M41" i="1"/>
  <c r="M48" i="1" s="1"/>
  <c r="R60" i="1"/>
  <c r="M29" i="1"/>
  <c r="M27" i="1"/>
  <c r="M23" i="1"/>
  <c r="M13" i="1"/>
  <c r="H29" i="1"/>
  <c r="H27" i="1"/>
  <c r="H23" i="1"/>
  <c r="H13" i="1"/>
  <c r="H9" i="1"/>
  <c r="H32" i="1" s="1"/>
  <c r="C41" i="1"/>
  <c r="C48" i="1" s="1"/>
  <c r="C29" i="1"/>
  <c r="C23" i="1"/>
  <c r="C13" i="1"/>
  <c r="C9" i="1"/>
  <c r="M9" i="1"/>
  <c r="L61" i="1"/>
  <c r="W66" i="1"/>
  <c r="W65" i="1"/>
  <c r="W64" i="1"/>
  <c r="W63" i="1"/>
  <c r="W51" i="1"/>
  <c r="W52" i="1"/>
  <c r="W53" i="1"/>
  <c r="W54" i="1"/>
  <c r="W55" i="1"/>
  <c r="W56" i="1"/>
  <c r="W57" i="1"/>
  <c r="W58" i="1"/>
  <c r="W50" i="1"/>
  <c r="W59" i="1" s="1"/>
  <c r="W36" i="1"/>
  <c r="W37" i="1"/>
  <c r="W38" i="1"/>
  <c r="W39" i="1"/>
  <c r="W40" i="1"/>
  <c r="W42" i="1"/>
  <c r="W43" i="1"/>
  <c r="W44" i="1"/>
  <c r="W45" i="1"/>
  <c r="W46" i="1"/>
  <c r="W47" i="1"/>
  <c r="W35" i="1"/>
  <c r="W10" i="1"/>
  <c r="W11" i="1"/>
  <c r="W12" i="1"/>
  <c r="W14" i="1"/>
  <c r="W15" i="1"/>
  <c r="W16" i="1"/>
  <c r="W17" i="1"/>
  <c r="W18" i="1"/>
  <c r="W19" i="1"/>
  <c r="W20" i="1"/>
  <c r="W21" i="1"/>
  <c r="W22" i="1"/>
  <c r="W24" i="1"/>
  <c r="W25" i="1"/>
  <c r="W26" i="1"/>
  <c r="W28" i="1"/>
  <c r="W30" i="1"/>
  <c r="W31" i="1"/>
  <c r="M32" i="1" l="1"/>
  <c r="C32" i="1"/>
  <c r="C60" i="1" s="1"/>
  <c r="C67" i="1" s="1"/>
  <c r="W9" i="1"/>
  <c r="M60" i="1"/>
  <c r="W41" i="1"/>
  <c r="W48" i="1" s="1"/>
  <c r="K61" i="1"/>
  <c r="W13" i="1"/>
  <c r="W23" i="1"/>
  <c r="H60" i="1"/>
  <c r="H67" i="1" s="1"/>
  <c r="W29" i="1"/>
  <c r="W27" i="1"/>
  <c r="W32" i="1" l="1"/>
  <c r="W60" i="1" s="1"/>
  <c r="H194" i="2"/>
  <c r="I25" i="2" s="1"/>
  <c r="D194" i="2"/>
  <c r="E194" i="2"/>
  <c r="H162" i="2"/>
  <c r="D162" i="2"/>
  <c r="E135" i="2"/>
  <c r="F135" i="2"/>
  <c r="G135" i="2"/>
  <c r="D131" i="2"/>
  <c r="D135" i="2" s="1"/>
  <c r="E101" i="2"/>
  <c r="D101" i="2"/>
  <c r="E100" i="2"/>
  <c r="F100" i="2"/>
  <c r="F101" i="2" s="1"/>
  <c r="G100" i="2"/>
  <c r="G101" i="2" s="1"/>
  <c r="D100" i="2"/>
  <c r="H98" i="2"/>
  <c r="H100" i="2" s="1"/>
  <c r="I98" i="2"/>
  <c r="E74" i="2"/>
  <c r="E75" i="2" s="1"/>
  <c r="F74" i="2"/>
  <c r="F75" i="2" s="1"/>
  <c r="G74" i="2"/>
  <c r="G75" i="2" s="1"/>
  <c r="H63" i="2"/>
  <c r="I63" i="2" s="1"/>
  <c r="D64" i="2"/>
  <c r="H70" i="2"/>
  <c r="H74" i="2" s="1"/>
  <c r="I74" i="2" s="1"/>
  <c r="D70" i="2"/>
  <c r="D74" i="2" s="1"/>
  <c r="B39" i="1"/>
  <c r="F39" i="1" s="1"/>
  <c r="G37" i="1"/>
  <c r="B36" i="1"/>
  <c r="F36" i="1" s="1"/>
  <c r="F48" i="1" s="1"/>
  <c r="B52" i="1"/>
  <c r="F52" i="1" s="1"/>
  <c r="G54" i="1"/>
  <c r="B57" i="1"/>
  <c r="F57" i="1" s="1"/>
  <c r="B65" i="1"/>
  <c r="F65" i="1" s="1"/>
  <c r="G9" i="1"/>
  <c r="G13" i="1"/>
  <c r="K13" i="1" s="1"/>
  <c r="G23" i="1"/>
  <c r="K23" i="1" s="1"/>
  <c r="G27" i="1"/>
  <c r="K27" i="1" s="1"/>
  <c r="G29" i="1"/>
  <c r="K29" i="1" s="1"/>
  <c r="L9" i="1"/>
  <c r="L13" i="1"/>
  <c r="P13" i="1" s="1"/>
  <c r="L23" i="1"/>
  <c r="P23" i="1" s="1"/>
  <c r="L27" i="1"/>
  <c r="P27" i="1" s="1"/>
  <c r="L29" i="1"/>
  <c r="P29" i="1" s="1"/>
  <c r="Q9" i="1"/>
  <c r="Q13" i="1"/>
  <c r="Q23" i="1"/>
  <c r="Q27" i="1"/>
  <c r="Q29" i="1"/>
  <c r="B9" i="1"/>
  <c r="F9" i="1" s="1"/>
  <c r="B13" i="1"/>
  <c r="F13" i="1" s="1"/>
  <c r="B23" i="1"/>
  <c r="F23" i="1" s="1"/>
  <c r="V28" i="1"/>
  <c r="Z28" i="1" s="1"/>
  <c r="B29" i="1"/>
  <c r="F29" i="1" s="1"/>
  <c r="F32" i="1" s="1"/>
  <c r="B27" i="1"/>
  <c r="F27" i="1" s="1"/>
  <c r="I23" i="2"/>
  <c r="I24" i="2"/>
  <c r="I27" i="2"/>
  <c r="I28" i="2"/>
  <c r="I31" i="2"/>
  <c r="I32" i="2"/>
  <c r="I35" i="2"/>
  <c r="I36" i="2"/>
  <c r="I39" i="2"/>
  <c r="I40" i="2"/>
  <c r="I43" i="2"/>
  <c r="I44" i="2"/>
  <c r="I47" i="2"/>
  <c r="I48" i="2"/>
  <c r="I51" i="2"/>
  <c r="I52" i="2"/>
  <c r="I55" i="2"/>
  <c r="I56" i="2"/>
  <c r="I59" i="2"/>
  <c r="I60" i="2"/>
  <c r="I65" i="2"/>
  <c r="I66" i="2"/>
  <c r="I69" i="2"/>
  <c r="I71" i="2"/>
  <c r="I78" i="2"/>
  <c r="I79" i="2"/>
  <c r="I82" i="2"/>
  <c r="I83" i="2"/>
  <c r="I86" i="2"/>
  <c r="I87" i="2"/>
  <c r="I90" i="2"/>
  <c r="I91" i="2"/>
  <c r="I94" i="2"/>
  <c r="I95" i="2"/>
  <c r="I99" i="2"/>
  <c r="I104" i="2"/>
  <c r="I105" i="2"/>
  <c r="I108" i="2"/>
  <c r="I109" i="2"/>
  <c r="I112" i="2"/>
  <c r="I113" i="2"/>
  <c r="I116" i="2"/>
  <c r="I117" i="2"/>
  <c r="I120" i="2"/>
  <c r="I121" i="2"/>
  <c r="I124" i="2"/>
  <c r="I125" i="2"/>
  <c r="I128" i="2"/>
  <c r="I129" i="2"/>
  <c r="I132" i="2"/>
  <c r="I133" i="2"/>
  <c r="I136" i="2"/>
  <c r="I137" i="2"/>
  <c r="I140" i="2"/>
  <c r="I141" i="2"/>
  <c r="I142" i="2"/>
  <c r="I144" i="2"/>
  <c r="I145" i="2"/>
  <c r="I146" i="2"/>
  <c r="I148" i="2"/>
  <c r="I149" i="2"/>
  <c r="I150" i="2"/>
  <c r="I152" i="2"/>
  <c r="I153" i="2"/>
  <c r="I154" i="2"/>
  <c r="I156" i="2"/>
  <c r="I157" i="2"/>
  <c r="I158" i="2"/>
  <c r="I160" i="2"/>
  <c r="I161" i="2"/>
  <c r="I162" i="2"/>
  <c r="I164" i="2"/>
  <c r="I165" i="2"/>
  <c r="I166" i="2"/>
  <c r="I168" i="2"/>
  <c r="I169" i="2"/>
  <c r="I170" i="2"/>
  <c r="I172" i="2"/>
  <c r="I173" i="2"/>
  <c r="I174" i="2"/>
  <c r="I176" i="2"/>
  <c r="I177" i="2"/>
  <c r="I178" i="2"/>
  <c r="I180" i="2"/>
  <c r="I181" i="2"/>
  <c r="I182" i="2"/>
  <c r="I184" i="2"/>
  <c r="I185" i="2"/>
  <c r="I186" i="2"/>
  <c r="I188" i="2"/>
  <c r="I189" i="2"/>
  <c r="I190" i="2"/>
  <c r="I192" i="2"/>
  <c r="I193" i="2"/>
  <c r="I194" i="2"/>
  <c r="V51" i="1"/>
  <c r="Z51" i="1" s="1"/>
  <c r="V50" i="1"/>
  <c r="V53" i="1"/>
  <c r="Z53" i="1" s="1"/>
  <c r="V55" i="1"/>
  <c r="Z55" i="1" s="1"/>
  <c r="V56" i="1"/>
  <c r="Z56" i="1" s="1"/>
  <c r="V58" i="1"/>
  <c r="Z58" i="1" s="1"/>
  <c r="V35" i="1"/>
  <c r="Z35" i="1" s="1"/>
  <c r="V38" i="1"/>
  <c r="Z38" i="1" s="1"/>
  <c r="V40" i="1"/>
  <c r="Z40" i="1" s="1"/>
  <c r="B41" i="1"/>
  <c r="F41" i="1" s="1"/>
  <c r="G41" i="1"/>
  <c r="K41" i="1" s="1"/>
  <c r="L41" i="1"/>
  <c r="Q41" i="1"/>
  <c r="Q48" i="1" s="1"/>
  <c r="V47" i="1"/>
  <c r="V42" i="1"/>
  <c r="Z42" i="1" s="1"/>
  <c r="V43" i="1"/>
  <c r="Z43" i="1" s="1"/>
  <c r="V44" i="1"/>
  <c r="Z44" i="1" s="1"/>
  <c r="V45" i="1"/>
  <c r="Z45" i="1" s="1"/>
  <c r="V46" i="1"/>
  <c r="Z46" i="1" s="1"/>
  <c r="V10" i="1"/>
  <c r="Z10" i="1" s="1"/>
  <c r="V11" i="1"/>
  <c r="Z11" i="1" s="1"/>
  <c r="V12" i="1"/>
  <c r="Z12" i="1" s="1"/>
  <c r="V14" i="1"/>
  <c r="Z14" i="1" s="1"/>
  <c r="V15" i="1"/>
  <c r="Z15" i="1" s="1"/>
  <c r="V16" i="1"/>
  <c r="Z16" i="1" s="1"/>
  <c r="V17" i="1"/>
  <c r="Z17" i="1" s="1"/>
  <c r="V18" i="1"/>
  <c r="Z18" i="1" s="1"/>
  <c r="V19" i="1"/>
  <c r="Z19" i="1" s="1"/>
  <c r="V20" i="1"/>
  <c r="Z20" i="1" s="1"/>
  <c r="V21" i="1"/>
  <c r="Z21" i="1" s="1"/>
  <c r="V22" i="1"/>
  <c r="Z22" i="1" s="1"/>
  <c r="V24" i="1"/>
  <c r="Z24" i="1" s="1"/>
  <c r="V25" i="1"/>
  <c r="Z25" i="1" s="1"/>
  <c r="V26" i="1"/>
  <c r="Z26" i="1" s="1"/>
  <c r="V30" i="1"/>
  <c r="Z30" i="1" s="1"/>
  <c r="V31" i="1"/>
  <c r="Z31" i="1" s="1"/>
  <c r="G19" i="2"/>
  <c r="F19" i="2"/>
  <c r="E19" i="2"/>
  <c r="D19" i="2"/>
  <c r="H18" i="2"/>
  <c r="H17" i="2"/>
  <c r="H16" i="2"/>
  <c r="H15" i="2"/>
  <c r="I15" i="2" s="1"/>
  <c r="H14" i="2"/>
  <c r="H13" i="2"/>
  <c r="H12" i="2"/>
  <c r="H11" i="2"/>
  <c r="I11" i="2" s="1"/>
  <c r="H10" i="2"/>
  <c r="H19" i="2" s="1"/>
  <c r="V63" i="1"/>
  <c r="Z63" i="1" s="1"/>
  <c r="V64" i="1"/>
  <c r="Z64" i="1" s="1"/>
  <c r="V62" i="1"/>
  <c r="V66" i="1"/>
  <c r="Z66" i="1" s="1"/>
  <c r="D75" i="2" l="1"/>
  <c r="I13" i="2"/>
  <c r="I17" i="2"/>
  <c r="I19" i="2"/>
  <c r="I12" i="2"/>
  <c r="I16" i="2"/>
  <c r="I14" i="2"/>
  <c r="I18" i="2"/>
  <c r="H101" i="2"/>
  <c r="I101" i="2" s="1"/>
  <c r="I100" i="2"/>
  <c r="P41" i="1"/>
  <c r="P48" i="1" s="1"/>
  <c r="L48" i="1"/>
  <c r="Q32" i="1"/>
  <c r="G48" i="1"/>
  <c r="K37" i="1"/>
  <c r="K48" i="1" s="1"/>
  <c r="H64" i="2"/>
  <c r="I10" i="2"/>
  <c r="I70" i="2"/>
  <c r="Z47" i="1"/>
  <c r="Z50" i="1"/>
  <c r="I21" i="2"/>
  <c r="I191" i="2"/>
  <c r="I187" i="2"/>
  <c r="I183" i="2"/>
  <c r="I179" i="2"/>
  <c r="I175" i="2"/>
  <c r="I171" i="2"/>
  <c r="I167" i="2"/>
  <c r="I163" i="2"/>
  <c r="I159" i="2"/>
  <c r="I155" i="2"/>
  <c r="I151" i="2"/>
  <c r="I147" i="2"/>
  <c r="I143" i="2"/>
  <c r="I139" i="2"/>
  <c r="I127" i="2"/>
  <c r="I123" i="2"/>
  <c r="I119" i="2"/>
  <c r="I115" i="2"/>
  <c r="I111" i="2"/>
  <c r="I107" i="2"/>
  <c r="I103" i="2"/>
  <c r="I97" i="2"/>
  <c r="I93" i="2"/>
  <c r="I89" i="2"/>
  <c r="I85" i="2"/>
  <c r="I81" i="2"/>
  <c r="I77" i="2"/>
  <c r="I73" i="2"/>
  <c r="I68" i="2"/>
  <c r="I62" i="2"/>
  <c r="I58" i="2"/>
  <c r="I54" i="2"/>
  <c r="I50" i="2"/>
  <c r="I46" i="2"/>
  <c r="I42" i="2"/>
  <c r="I38" i="2"/>
  <c r="I34" i="2"/>
  <c r="I30" i="2"/>
  <c r="I26" i="2"/>
  <c r="I22" i="2"/>
  <c r="P9" i="1"/>
  <c r="P32" i="1" s="1"/>
  <c r="L32" i="1"/>
  <c r="K54" i="1"/>
  <c r="K59" i="1" s="1"/>
  <c r="G59" i="1"/>
  <c r="H131" i="2"/>
  <c r="I138" i="2"/>
  <c r="I134" i="2"/>
  <c r="I130" i="2"/>
  <c r="I126" i="2"/>
  <c r="I122" i="2"/>
  <c r="I118" i="2"/>
  <c r="I114" i="2"/>
  <c r="I110" i="2"/>
  <c r="I106" i="2"/>
  <c r="I102" i="2"/>
  <c r="I96" i="2"/>
  <c r="I92" i="2"/>
  <c r="I88" i="2"/>
  <c r="I84" i="2"/>
  <c r="I80" i="2"/>
  <c r="I76" i="2"/>
  <c r="I72" i="2"/>
  <c r="I67" i="2"/>
  <c r="I61" i="2"/>
  <c r="I57" i="2"/>
  <c r="I53" i="2"/>
  <c r="I49" i="2"/>
  <c r="I45" i="2"/>
  <c r="I41" i="2"/>
  <c r="I37" i="2"/>
  <c r="I33" i="2"/>
  <c r="I29" i="2"/>
  <c r="K9" i="1"/>
  <c r="K32" i="1" s="1"/>
  <c r="G32" i="1"/>
  <c r="F59" i="1"/>
  <c r="U27" i="1"/>
  <c r="U32" i="1" s="1"/>
  <c r="U41" i="1"/>
  <c r="U48" i="1" s="1"/>
  <c r="V37" i="1"/>
  <c r="Z37" i="1" s="1"/>
  <c r="V54" i="1"/>
  <c r="Z54" i="1" s="1"/>
  <c r="V39" i="1"/>
  <c r="Z39" i="1" s="1"/>
  <c r="B61" i="1"/>
  <c r="F61" i="1"/>
  <c r="V57" i="1"/>
  <c r="W67" i="1"/>
  <c r="Z67" i="1" s="1"/>
  <c r="V9" i="1"/>
  <c r="V27" i="1"/>
  <c r="Z27" i="1" s="1"/>
  <c r="B59" i="1"/>
  <c r="V13" i="1"/>
  <c r="Z13" i="1" s="1"/>
  <c r="Q60" i="1"/>
  <c r="B32" i="1"/>
  <c r="V41" i="1"/>
  <c r="Z41" i="1" s="1"/>
  <c r="V23" i="1"/>
  <c r="Z23" i="1" s="1"/>
  <c r="B48" i="1"/>
  <c r="V52" i="1"/>
  <c r="Z52" i="1" s="1"/>
  <c r="V29" i="1"/>
  <c r="Z29" i="1" s="1"/>
  <c r="V65" i="1"/>
  <c r="Z65" i="1" s="1"/>
  <c r="V36" i="1"/>
  <c r="Z36" i="1" s="1"/>
  <c r="I131" i="2" l="1"/>
  <c r="H135" i="2"/>
  <c r="I135" i="2" s="1"/>
  <c r="H75" i="2"/>
  <c r="I75" i="2" s="1"/>
  <c r="I64" i="2"/>
  <c r="Z59" i="1"/>
  <c r="Z57" i="1"/>
  <c r="V48" i="1"/>
  <c r="V32" i="1"/>
  <c r="Z9" i="1"/>
  <c r="Z32" i="1" s="1"/>
  <c r="V59" i="1"/>
  <c r="Z48" i="1"/>
  <c r="F60" i="1"/>
  <c r="B60" i="1"/>
  <c r="B67" i="1" s="1"/>
  <c r="F67" i="1" s="1"/>
  <c r="G60" i="1"/>
  <c r="G67" i="1" s="1"/>
  <c r="K67" i="1" s="1"/>
  <c r="K60" i="1"/>
  <c r="L60" i="1"/>
  <c r="P60" i="1"/>
  <c r="V61" i="1"/>
  <c r="U60" i="1" l="1"/>
  <c r="Y60" i="1"/>
  <c r="AA41" i="1"/>
  <c r="AA13" i="1"/>
  <c r="V60" i="1"/>
  <c r="AA52" i="1"/>
  <c r="AA23" i="1"/>
  <c r="AA59" i="1"/>
  <c r="AA55" i="1"/>
  <c r="AA53" i="1"/>
  <c r="AA50" i="1"/>
  <c r="AA56" i="1"/>
  <c r="AA58" i="1"/>
  <c r="AA51" i="1"/>
  <c r="AA54" i="1"/>
  <c r="AA57" i="1"/>
  <c r="AA44" i="1" l="1"/>
  <c r="AA42" i="1"/>
  <c r="AA39" i="1"/>
  <c r="AA36" i="1"/>
  <c r="AA38" i="1"/>
  <c r="AA48" i="1"/>
  <c r="AA37" i="1"/>
  <c r="AA45" i="1"/>
  <c r="AA17" i="1"/>
  <c r="AA20" i="1"/>
  <c r="AA43" i="1"/>
  <c r="AA46" i="1"/>
  <c r="AA9" i="1"/>
  <c r="AA35" i="1"/>
  <c r="AA47" i="1"/>
  <c r="AA40" i="1"/>
  <c r="AA30" i="1"/>
  <c r="AA12" i="1"/>
  <c r="AA24" i="1"/>
  <c r="AA21" i="1"/>
  <c r="AA25" i="1"/>
  <c r="AA11" i="1"/>
  <c r="AA31" i="1"/>
  <c r="AA14" i="1"/>
  <c r="AA32" i="1"/>
  <c r="AA29" i="1"/>
  <c r="AA18" i="1"/>
  <c r="AA10" i="1"/>
  <c r="AA26" i="1"/>
  <c r="AA28" i="1"/>
  <c r="Z60" i="1"/>
  <c r="AA22" i="1"/>
  <c r="AA19" i="1"/>
  <c r="AA16" i="1"/>
  <c r="AA15" i="1"/>
  <c r="AA27" i="1"/>
  <c r="W62" i="1"/>
  <c r="Z62" i="1" s="1"/>
  <c r="Z61" i="1" l="1"/>
  <c r="W61" i="1"/>
</calcChain>
</file>

<file path=xl/sharedStrings.xml><?xml version="1.0" encoding="utf-8"?>
<sst xmlns="http://schemas.openxmlformats.org/spreadsheetml/2006/main" count="341" uniqueCount="180">
  <si>
    <t>13.400  Ieņēmumi no valsts un pašvaldību kustamā īpašuma un mantas realizācijas</t>
  </si>
  <si>
    <t>21.100  Budžeta iestādes ieņēmumi no ārvalstu finanšu palīdzības</t>
  </si>
  <si>
    <t>18.600  Pašvaldību budžetā saņemtie uzturēšanas izdevumu transferti no valsts budžeta</t>
  </si>
  <si>
    <t>08.600  Procentu ieņēmumi par depozītiem, kontu atlikumiem un valsts parāda vērtspapīriem</t>
  </si>
  <si>
    <t>13.200  Ieņēmumi no zemes, meža īpašuma pārdošanas</t>
  </si>
  <si>
    <t>09.500  Pašvaldību nodevas</t>
  </si>
  <si>
    <t>19.200  Pašvaldību saņemtie  transferti no citām pašvaldībām</t>
  </si>
  <si>
    <t>13.100  Ieņēmumi no ēku un būvju īpašuma pārdošanas</t>
  </si>
  <si>
    <t>01.100  Ieņēmumi no iedzīvotāju ienākuma nodokļa</t>
  </si>
  <si>
    <t>12.200  Nenodokļu ieņēmumi un ieņēmumi no zaudējumu atlīdzībām un kompensācijām</t>
  </si>
  <si>
    <t>04.100  Nekustamā īpašuma nodoklis</t>
  </si>
  <si>
    <t>21.300  Ieņēmumi no budžeta iestāžu sniegtajiem maksas pakalpojumiem un citi pašu ieņēmumi</t>
  </si>
  <si>
    <t>12.300  Dažādi nenodokļu ieņēmumi</t>
  </si>
  <si>
    <t>10.100  Naudas sodi</t>
  </si>
  <si>
    <t>09.400  Valsts nodevas, kuras ieskaita pašvaldību budžetā</t>
  </si>
  <si>
    <t>1000  Atlīdzība</t>
  </si>
  <si>
    <t>2000  Preces un pakalpojumi</t>
  </si>
  <si>
    <t>3000  Subsīdijas un dotācijas</t>
  </si>
  <si>
    <t>4000  Procentu izdevumi</t>
  </si>
  <si>
    <t>5000  Pamatkapitāla veidošana</t>
  </si>
  <si>
    <t>6000  Sociālā rakstura maksājumi un kompensācijas</t>
  </si>
  <si>
    <t>7000  Uzturēšanas izdevumu transferti, pašu resursu maksājumi, starptautiskā sadarbība</t>
  </si>
  <si>
    <t>9000  Kapitālo izdevumu transferti</t>
  </si>
  <si>
    <t>Nodokļu ieņēmumi</t>
  </si>
  <si>
    <t>Nenodokļu ieņēmumi</t>
  </si>
  <si>
    <t>Transferti</t>
  </si>
  <si>
    <t>IEŅĒMUMI KOPĀ</t>
  </si>
  <si>
    <t>IEŅĒMUMI</t>
  </si>
  <si>
    <t>7210  Pašvaldību uzturēšanas izdevumu transferti citām pašvaldībām</t>
  </si>
  <si>
    <t>7220  Pašvaldību uzturēšanas izdevumu iekšējie transferti starp pašvaldības budžeta veidiem</t>
  </si>
  <si>
    <t>7240  Pašvaldības budžeta uzturēšanas izdevumu transferts uz valsts budžetu</t>
  </si>
  <si>
    <t>7720  Pārējie pārskaitījumi ārvalstīm</t>
  </si>
  <si>
    <t>IZDEVUMI KOPĀ</t>
  </si>
  <si>
    <t xml:space="preserve">IZDEVUMI </t>
  </si>
  <si>
    <t>Izdevumi atbilstoši ekonomiskajām kategorijām</t>
  </si>
  <si>
    <t>05.500  Nodokļi un maksājumi par tiesībām lietot atsevišķas preces (Dabas resursu nodoklis)</t>
  </si>
  <si>
    <t>Izdevumi atbilstoši funkcionālajām kategorijām</t>
  </si>
  <si>
    <t>01.000  Vispārējie valdības dienesti</t>
  </si>
  <si>
    <t>03.000  Sabiedriskā kārtība un drošība</t>
  </si>
  <si>
    <t>04.000  Ekonomiskā darbība</t>
  </si>
  <si>
    <t>05.000  Vides aizsardzība</t>
  </si>
  <si>
    <t>06.000  Pašvaldības teritoriju un mājokļu apsaimniekošana</t>
  </si>
  <si>
    <t>07.000  Veselība</t>
  </si>
  <si>
    <t>08.000  Atpūta, kultūra, sports un reliģija</t>
  </si>
  <si>
    <t>09.000  Izglītība</t>
  </si>
  <si>
    <t>10.000  Sociālā aizsardzība</t>
  </si>
  <si>
    <t>FINANSĒŠANA</t>
  </si>
  <si>
    <t>IEŅĒMUMU PĀRSNIEGUMS  (+) VAI DEFICĪTS (-)</t>
  </si>
  <si>
    <t>Rādītāju nosaukums</t>
  </si>
  <si>
    <t>1.pielikums</t>
  </si>
  <si>
    <r>
      <t xml:space="preserve">saistošajiem noteikumiem </t>
    </r>
    <r>
      <rPr>
        <sz val="8"/>
        <color indexed="10"/>
        <rFont val="Arial"/>
        <family val="2"/>
        <charset val="186"/>
      </rPr>
      <t>Nr.**</t>
    </r>
  </si>
  <si>
    <t>Pieprasījuma noguldījumu veikšana/izņemšana starp finansējumiem (t.sk.Projektu līdzfinansējums)</t>
  </si>
  <si>
    <t>Aizņēmumi (Saņemto aizņēmumu atmaksa)</t>
  </si>
  <si>
    <t>Aizņēmumi (Saņemtie ilgtermiņa)</t>
  </si>
  <si>
    <t>Naudas līdzekļu un noguldījumu atlikums gada sākumā</t>
  </si>
  <si>
    <t>Naudas līdzekļu un noguldījumu atlikums perioda beigās</t>
  </si>
  <si>
    <t>PLĀNS KOPĀ</t>
  </si>
  <si>
    <t>Pašvaldības budžeta plāns</t>
  </si>
  <si>
    <t>12  Valsts budžeta plāns</t>
  </si>
  <si>
    <t xml:space="preserve"> Pašvaldības budžets
fin.11</t>
  </si>
  <si>
    <t>Dabas resursu nodoklis 
fin.14</t>
  </si>
  <si>
    <t>Projektu 
(ES fondu) budžets fin.13</t>
  </si>
  <si>
    <t>17.200  Pašvaldību saņemtie transferti no valsts budžeta daļēji finansētām atvasinātām publiskām personām un no budžeta nefinasētām iestādēm</t>
  </si>
  <si>
    <t>21.400  Pārējie 21.3.0.0.grupā neklasificētie budžeta iestāžu ieņēmumi par budžeta iestāžu sniegtajiem maksas pakalpojumiem un citi pašu ieņēmumi</t>
  </si>
  <si>
    <t>7270  Pašvaldību uzturēšanas izdevumu transferti valsts budžeta daļēji finansētām atvasinātajām publiskajām personām, budžeta nefinansētajām iestādēm</t>
  </si>
  <si>
    <t>Aizņēmumi (Saņemtie vidēja termiņa) (budžeta un finanšu vadībai)</t>
  </si>
  <si>
    <t>Jelgavas novada pašvaldības pamatbudžeta izdevumu kopsavilkums 2025.gadam atbilstoši funkcionālajām kategorijām</t>
  </si>
  <si>
    <t>01.100  Izpildvara, likumdošanas vara, finanšu un fiskālā darbība, ārlietas</t>
  </si>
  <si>
    <t>01.100  Izpildvara, likumdošanas vara, finanšu un fiskālā darbība, ārlietas KOPĀ</t>
  </si>
  <si>
    <t>01.300  Vispārējas nozīmes dienesti</t>
  </si>
  <si>
    <t>01.300  Vispārējas nozīmes dienesti KOPĀ</t>
  </si>
  <si>
    <t>01.600  Pārējie iepriekš neklasificētie valdības dienesti</t>
  </si>
  <si>
    <t>01.600  Pārējie iepriekš neklasificētie valdības dienesti KOPĀ</t>
  </si>
  <si>
    <t>01.700  Vispārējās valdības sektora (valsts un pašvaldības) parāda darījumi</t>
  </si>
  <si>
    <t>01.700  Vispārējās valdības sektora (valsts un pašvaldības) parāda darījumi KOPĀ</t>
  </si>
  <si>
    <t>01.000  Vispārējie valdības dienesti KOPĀ</t>
  </si>
  <si>
    <t>03.100  Policija</t>
  </si>
  <si>
    <t>03.100  Policija KOPĀ</t>
  </si>
  <si>
    <t>03.200  Ugunsdrošības, ugunsdzēsības, glābšanas un civilās drošības dienesti</t>
  </si>
  <si>
    <t>03.200  Ugunsdrošības, ugunsdzēsības, glābšanas un civilās drošības dienesti KOPĀ</t>
  </si>
  <si>
    <t>03.000  Sabiedriskā kārtība un drošība KOPĀ</t>
  </si>
  <si>
    <t>04.100  Vispārēja ekonomiska, komerciāla un nodarbinātības darbība</t>
  </si>
  <si>
    <t>04.100  Vispārēja ekonomiska, komerciāla un nodarbinātības darbība KOPĀ</t>
  </si>
  <si>
    <t>04.200  Lauksaimniecība, mežsaimniecība, zivsaimniecība un medniecība</t>
  </si>
  <si>
    <t>04.200  Lauksaimniecība, mežsaimniecība, zivsaimniecība un medniecība KOPĀ</t>
  </si>
  <si>
    <t>04.400  Kalnrūpniecība, rūpniecība un būvniecība</t>
  </si>
  <si>
    <t>04.400  Kalnrūpniecība, rūpniecība un būvniecība KOPĀ</t>
  </si>
  <si>
    <t>04.500  Transports</t>
  </si>
  <si>
    <t>04.500  Transports KOPĀ</t>
  </si>
  <si>
    <t>04.600  Sakari</t>
  </si>
  <si>
    <t>04.600  Sakari KOPĀ</t>
  </si>
  <si>
    <t>04.700  Citas nozares</t>
  </si>
  <si>
    <t>04.700  Citas nozares KOPĀ</t>
  </si>
  <si>
    <t>04.000  Ekonomiskā darbība KOPĀ</t>
  </si>
  <si>
    <t>05.100  Atkritumu apsaimniekošana</t>
  </si>
  <si>
    <t>05.300  Vides piesārņojuma novēršana un samazināšana</t>
  </si>
  <si>
    <t>05.300  Vides piesārņojuma novēršana un samazināšana KOPĀ</t>
  </si>
  <si>
    <t>05.400  Bioloģiskās daudzveidības un ainavas aizsardzība</t>
  </si>
  <si>
    <t>05.600  Pārējā citur neklasificētā vides aizsardzība</t>
  </si>
  <si>
    <t>05.600  Pārējā citur neklasificētā vides aizsardzība KOPĀ</t>
  </si>
  <si>
    <t>05.000  Vides aizsardzība KOPĀ</t>
  </si>
  <si>
    <t>06.100  Mājokļu attīstība</t>
  </si>
  <si>
    <t>06.100  Mājokļu attīstība KOPĀ</t>
  </si>
  <si>
    <t>06.200  Teritoriju attīstība</t>
  </si>
  <si>
    <t>06.200  Teritoriju attīstība KOPĀ</t>
  </si>
  <si>
    <t>06.400  Ielu apgaismošana</t>
  </si>
  <si>
    <t>06.600  Pārējā citur neklasificētā pašvaldību teritoriju un mājokļu apsaimniekošanas darbība</t>
  </si>
  <si>
    <t>06.600  Pārējā citur neklasificētā pašvaldību teritoriju un mājokļu apsaimniekošanas darbība KOPĀ</t>
  </si>
  <si>
    <t>06.000  Pašvaldības teritoriju un mājokļu apsaimniekošana KOPĀ</t>
  </si>
  <si>
    <t>07.200  Ambulatoro ārstniecības iestāžu darbība un pakalpojumi</t>
  </si>
  <si>
    <t>08.100  Atpūtas un sporta pasākumi</t>
  </si>
  <si>
    <t>08.100  Atpūtas un sporta pasākumi KOPĀ</t>
  </si>
  <si>
    <t>08.200  Kultūra</t>
  </si>
  <si>
    <t>08.200  Kultūra KOPĀ</t>
  </si>
  <si>
    <t>08.600  Pārējie citur neklasificētie sporta, atpūtas, kultūras un reliģijas pakalpojumi</t>
  </si>
  <si>
    <t>08.600  Pārējie citur neklasificētie sporta, atpūtas, kultūras un reliģijas pakalpojumi KOPĀ</t>
  </si>
  <si>
    <t>08.000  Atpūta, kultūra, sports un reliģija KOPĀ</t>
  </si>
  <si>
    <t>09.100  Pirmsskolas izglītība (ISCED-97 0.līmenis)</t>
  </si>
  <si>
    <t>09.100  Pirmsskolas izglītība (ISCED-97 0.līmenis) KOPĀ</t>
  </si>
  <si>
    <t>09.210  Vispārējā izglītība. Pamatizglītība (ISCED-971., 2. un 3.līmenis)(GP 09.219)</t>
  </si>
  <si>
    <t>09.210  Vispārējā izglītība. Pamatizglītība (ISCED-971., 2. un 3.līmenis)(GP 09.219) KOPĀ</t>
  </si>
  <si>
    <t>09.220  Profesionālā izglītība (ISCED-97 2. un 3.līmenis)</t>
  </si>
  <si>
    <t>09.220  Profesionālā izglītība (ISCED-97 2. un 3.līmenis) KOPĀ</t>
  </si>
  <si>
    <t>09.200  Pamatizglītība, vispārējā un profesionālā izglītība (ISCED-971., 2. un 3.līmenis) KOPĀ</t>
  </si>
  <si>
    <t>09.500  Līmeņos nedefinētā izglītība</t>
  </si>
  <si>
    <t>09.510  Interešu un profesionālās ievirzes izglītība KOPĀ</t>
  </si>
  <si>
    <t>09.530  Līmeņos nedefinēta izglītība pieaugušajiem</t>
  </si>
  <si>
    <t>09.530  Līmeņos nedefinēta izglītība pieaugušajiem KOPĀ</t>
  </si>
  <si>
    <t>09.500  Līmeņos nedefinētā izglītība KOPĀ</t>
  </si>
  <si>
    <t>09.600  Izglītības papildu pakalpojumi</t>
  </si>
  <si>
    <t>09.600  Izglītības papildu pakalpojumi KOPĀ</t>
  </si>
  <si>
    <t>09.800  Pārējā citur neklasificētā izglītība</t>
  </si>
  <si>
    <t>09.800  Pārējā citur neklasificētā izglītība KOPĀ</t>
  </si>
  <si>
    <t>09.000  Izglītība KOPĀ</t>
  </si>
  <si>
    <t>10.100  Sociālā aizsardzība darbnespējas gadījumā</t>
  </si>
  <si>
    <t>10.100  Sociālā aizsardzība darbnespējas gadījumā KOPĀ</t>
  </si>
  <si>
    <t>10.200  Atbalsts gados veciem cilvēkiem</t>
  </si>
  <si>
    <t>10.200  Atbalsts gados veciem cilvēkiem KOPĀ</t>
  </si>
  <si>
    <t>10.300  Atbalsts apgādnieka zaudējuma gadījumā</t>
  </si>
  <si>
    <t>10.400  Atbalsts ģimenēm ar bērniem</t>
  </si>
  <si>
    <t>10.400  Atbalsts ģimenēm ar bērniem KOPĀ</t>
  </si>
  <si>
    <t>10.500  Atbalsts bezdarba gadījumā</t>
  </si>
  <si>
    <t>10.700  Pārējais citur neklasificēts atbalsts sociāli atstumtām personām</t>
  </si>
  <si>
    <t>10.700  Pārējais citur neklasificēts atbalsts sociāli atstumtām personām KOPĀ</t>
  </si>
  <si>
    <t>10.900  Pārējā citur neklasificētā sociālā aizsardzība</t>
  </si>
  <si>
    <t>10.900  Pārējā citur neklasificētā sociālā aizsardzība KOPĀ</t>
  </si>
  <si>
    <t>10.000  Sociālā aizsardzība KOPĀ</t>
  </si>
  <si>
    <t>KOPĀ</t>
  </si>
  <si>
    <t>*Pielikums sagatavots atbilstoši 01.01.2007 Ministru kabineta noteikumiem Nr. 934, "Noteikumi par budžetu izdevumu klasifikāciju atbilstoši funkcionālajām kategorijām" un Valsts kases vadlīnijām par mēnešu un gada pārskata sagatavošanu.</t>
  </si>
  <si>
    <t>Tajā skaitā detalizēti*:</t>
  </si>
  <si>
    <t>Īpatsvars, %</t>
  </si>
  <si>
    <t>Ieņēmumi no maksas pakalpojumiem un citi pašu ieņēmumi</t>
  </si>
  <si>
    <t>Ārvalstu finanšu palīdzība</t>
  </si>
  <si>
    <t>Valsts budžeta plāns
fin.12</t>
  </si>
  <si>
    <r>
      <t xml:space="preserve">Jelgavas novada pašvaldības 2025.gada </t>
    </r>
    <r>
      <rPr>
        <sz val="8"/>
        <color indexed="10"/>
        <rFont val="Arial"/>
        <family val="2"/>
        <charset val="186"/>
      </rPr>
      <t>**</t>
    </r>
    <r>
      <rPr>
        <sz val="8"/>
        <rFont val="Arial"/>
        <family val="2"/>
        <charset val="186"/>
      </rPr>
      <t>.februāra</t>
    </r>
  </si>
  <si>
    <t>Grozījumi
(+/-)
09.2025</t>
  </si>
  <si>
    <t xml:space="preserve"> Grozījumi 
Pašvaldības budžets
fin.11
(+/-)
09.2025</t>
  </si>
  <si>
    <t>Grozījumi 
Projektu 
(ES fondu) budžets fin.13
(+/-)
09.2025</t>
  </si>
  <si>
    <t>Grozījumi 
Dabas resursu nodoklis 
fin.14
(+/-)
09.2025</t>
  </si>
  <si>
    <t>Grozījumi 
Valsts budžeta plāns
fin.12
(+/-)
09.2025</t>
  </si>
  <si>
    <t>Plāns kopā 2025.gadam</t>
  </si>
  <si>
    <t xml:space="preserve"> Grozījumi 
Pašvaldības budžets
fin.11
(+/-)
10.2025</t>
  </si>
  <si>
    <t>Grozījumi 
Projektu 
(ES fondu) budžets fin.13
(+/-)
10.2025</t>
  </si>
  <si>
    <t>Grozījumi 
Dabas resursu nodoklis 
fin.14
(+/-)
10.2025</t>
  </si>
  <si>
    <t>Grozījumi 
Valsts budžeta plāns
fin.12
(+/-)
10.2025</t>
  </si>
  <si>
    <t>Grozījumi
(+/-)
10.2025</t>
  </si>
  <si>
    <t xml:space="preserve"> Grozījumi 
Pašvaldības budžets
fin.11
(+/-)
11.2025</t>
  </si>
  <si>
    <t>Grozījumi 
Projektu 
(ES fondu) budžets fin.13
(+/-)
11.2025</t>
  </si>
  <si>
    <t>Grozījumi 
Dabas resursu nodoklis 
fin.14
(+/-)
11.2025</t>
  </si>
  <si>
    <t>Grozījumi 
Valsts budžeta plāns
fin.12
(+/-)
11.2025</t>
  </si>
  <si>
    <t>Precizēts plāns Pašvaldības budžets
fin.11
 uz 11.2025</t>
  </si>
  <si>
    <t>Precizēts plāns Projektu 
(ES fondu) budžets fin.13
 uz 11.2025</t>
  </si>
  <si>
    <t>Precizēts plāns Dabas resursu nodoklis 
fin.14
 uz 11.2025</t>
  </si>
  <si>
    <t>Precizēts plāns Valsts budžeta plāns
fin.12
 uz 11.2025</t>
  </si>
  <si>
    <t>Precizēts plāns uz 11.2025
KOPĀ</t>
  </si>
  <si>
    <t>Grozījumi
(+/-)
11.2025</t>
  </si>
  <si>
    <t>1. pielikums</t>
  </si>
  <si>
    <t>Jelgavas novada pašvaldības 2025. gada 26. novembra</t>
  </si>
  <si>
    <t>saistošajiem noteikumiem Nr. 15</t>
  </si>
  <si>
    <t>Jelgavas novada pašvaldības pamatbudžeta ieņēmumu un izdevumu kopsavilkums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</si>
</sst>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_ ;[Red]\-#,##0\ "/>
    <numFmt numFmtId="165" formatCode="0.0000"/>
    <numFmt numFmtId="166" formatCode="0.000"/>
  </numFmts>
  <fonts count="14">
    <font>
      <sz val="9"/>
      <color rgb="FF3B3B3B"/>
      <name val="Segoe UI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8"/>
      <color indexed="10"/>
      <name val="Arial"/>
      <family val="2"/>
      <charset val="186"/>
    </font>
    <font>
      <sz val="9"/>
      <name val="Arial"/>
      <family val="2"/>
      <charset val="186"/>
    </font>
    <font>
      <sz val="11"/>
      <color theme="1"/>
      <name val="Aptos Narrow"/>
      <family val="2"/>
      <scheme val="minor"/>
    </font>
    <font>
      <sz val="9"/>
      <color rgb="FF3B3B3B"/>
      <name val="Arial"/>
      <family val="2"/>
      <charset val="186"/>
    </font>
    <font>
      <b/>
      <sz val="9"/>
      <color rgb="FF3B3B3B"/>
      <name val="Arial"/>
      <family val="2"/>
      <charset val="186"/>
    </font>
    <font>
      <i/>
      <sz val="9"/>
      <color rgb="FF3B3B3B"/>
      <name val="Arial"/>
      <family val="2"/>
      <charset val="186"/>
    </font>
    <font>
      <b/>
      <sz val="11"/>
      <color rgb="FF3B3B3B"/>
      <name val="Arial"/>
      <family val="2"/>
      <charset val="186"/>
    </font>
    <font>
      <i/>
      <sz val="9"/>
      <color rgb="FF3B3B3B"/>
      <name val="Tahoma"/>
      <family val="2"/>
      <charset val="186"/>
    </font>
    <font>
      <b/>
      <sz val="10"/>
      <color rgb="FF3B3B3B"/>
      <name val="Arial"/>
      <family val="2"/>
      <charset val="186"/>
    </font>
    <font>
      <sz val="8"/>
      <color rgb="FF3B3B3B"/>
      <name val="Arial"/>
      <family val="2"/>
      <charset val="186"/>
    </font>
    <font>
      <sz val="9"/>
      <color rgb="FF3B3B3B"/>
      <name val="Tahoma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3">
    <xf numFmtId="0" fontId="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5" fillId="0" borderId="0"/>
  </cellStyleXfs>
  <cellXfs count="110">
    <xf numFmtId="0" fontId="0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7" fillId="0" borderId="0" xfId="0" applyNumberFormat="1" applyFont="1" applyFill="1" applyBorder="1" applyAlignment="1" applyProtection="1">
      <alignment horizontal="center" vertical="top" wrapText="1"/>
    </xf>
    <xf numFmtId="4" fontId="6" fillId="0" borderId="0" xfId="0" applyNumberFormat="1" applyFont="1" applyFill="1" applyBorder="1" applyAlignment="1" applyProtection="1">
      <alignment horizontal="center" vertical="top" wrapText="1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left" wrapText="1"/>
    </xf>
    <xf numFmtId="0" fontId="6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8" fillId="0" borderId="1" xfId="0" applyNumberFormat="1" applyFont="1" applyFill="1" applyBorder="1" applyAlignment="1" applyProtection="1">
      <alignment horizontal="right" vertical="top" wrapText="1"/>
    </xf>
    <xf numFmtId="0" fontId="7" fillId="2" borderId="1" xfId="0" applyNumberFormat="1" applyFont="1" applyFill="1" applyBorder="1" applyAlignment="1" applyProtection="1">
      <alignment horizontal="left" wrapText="1"/>
    </xf>
    <xf numFmtId="0" fontId="2" fillId="0" borderId="0" xfId="2" applyFont="1" applyAlignment="1">
      <alignment horizontal="right"/>
    </xf>
    <xf numFmtId="0" fontId="2" fillId="0" borderId="0" xfId="1" applyFont="1" applyAlignment="1">
      <alignment horizontal="right"/>
    </xf>
    <xf numFmtId="0" fontId="9" fillId="0" borderId="0" xfId="0" applyNumberFormat="1" applyFont="1" applyFill="1" applyBorder="1" applyAlignment="1" applyProtection="1">
      <alignment horizontal="left" vertical="top"/>
    </xf>
    <xf numFmtId="3" fontId="6" fillId="0" borderId="1" xfId="0" applyNumberFormat="1" applyFont="1" applyFill="1" applyBorder="1" applyAlignment="1" applyProtection="1">
      <alignment horizontal="right" vertical="top" wrapText="1"/>
    </xf>
    <xf numFmtId="3" fontId="7" fillId="0" borderId="1" xfId="0" applyNumberFormat="1" applyFont="1" applyFill="1" applyBorder="1" applyAlignment="1" applyProtection="1">
      <alignment horizontal="right" vertical="top" wrapText="1"/>
    </xf>
    <xf numFmtId="3" fontId="10" fillId="0" borderId="1" xfId="0" applyNumberFormat="1" applyFont="1" applyFill="1" applyBorder="1" applyAlignment="1" applyProtection="1">
      <alignment horizontal="right" vertical="top" wrapText="1"/>
    </xf>
    <xf numFmtId="3" fontId="8" fillId="0" borderId="1" xfId="0" applyNumberFormat="1" applyFont="1" applyFill="1" applyBorder="1" applyAlignment="1" applyProtection="1">
      <alignment horizontal="right" vertical="top" wrapText="1"/>
    </xf>
    <xf numFmtId="3" fontId="7" fillId="2" borderId="1" xfId="0" applyNumberFormat="1" applyFont="1" applyFill="1" applyBorder="1" applyAlignment="1" applyProtection="1">
      <alignment horizontal="right" vertical="top" wrapText="1"/>
    </xf>
    <xf numFmtId="0" fontId="8" fillId="0" borderId="1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center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wrapText="1"/>
    </xf>
    <xf numFmtId="164" fontId="6" fillId="0" borderId="1" xfId="0" applyNumberFormat="1" applyFont="1" applyFill="1" applyBorder="1" applyAlignment="1" applyProtection="1">
      <alignment horizontal="right" vertical="top" wrapText="1"/>
    </xf>
    <xf numFmtId="0" fontId="11" fillId="0" borderId="0" xfId="0" applyNumberFormat="1" applyFont="1" applyFill="1" applyBorder="1" applyAlignment="1" applyProtection="1">
      <alignment horizontal="center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7" fillId="0" borderId="14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 wrapText="1"/>
    </xf>
    <xf numFmtId="2" fontId="7" fillId="0" borderId="1" xfId="0" applyNumberFormat="1" applyFont="1" applyFill="1" applyBorder="1" applyAlignment="1" applyProtection="1">
      <alignment horizontal="right" wrapText="1"/>
    </xf>
    <xf numFmtId="3" fontId="7" fillId="0" borderId="1" xfId="0" applyNumberFormat="1" applyFont="1" applyFill="1" applyBorder="1" applyAlignment="1" applyProtection="1">
      <alignment wrapText="1"/>
    </xf>
    <xf numFmtId="2" fontId="7" fillId="0" borderId="1" xfId="0" applyNumberFormat="1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wrapText="1"/>
    </xf>
    <xf numFmtId="2" fontId="6" fillId="0" borderId="1" xfId="0" applyNumberFormat="1" applyFont="1" applyFill="1" applyBorder="1" applyAlignment="1" applyProtection="1">
      <alignment wrapText="1"/>
    </xf>
    <xf numFmtId="2" fontId="6" fillId="0" borderId="1" xfId="0" applyNumberFormat="1" applyFont="1" applyFill="1" applyBorder="1" applyAlignment="1" applyProtection="1">
      <alignment horizontal="right" wrapText="1"/>
    </xf>
    <xf numFmtId="3" fontId="6" fillId="0" borderId="1" xfId="0" applyNumberFormat="1" applyFont="1" applyFill="1" applyBorder="1" applyAlignment="1" applyProtection="1">
      <alignment horizontal="right" wrapText="1"/>
    </xf>
    <xf numFmtId="3" fontId="7" fillId="2" borderId="1" xfId="0" applyNumberFormat="1" applyFont="1" applyFill="1" applyBorder="1" applyAlignment="1" applyProtection="1">
      <alignment horizontal="right" wrapText="1"/>
    </xf>
    <xf numFmtId="165" fontId="6" fillId="0" borderId="1" xfId="0" applyNumberFormat="1" applyFont="1" applyFill="1" applyBorder="1" applyAlignment="1" applyProtection="1">
      <alignment wrapText="1"/>
    </xf>
    <xf numFmtId="166" fontId="6" fillId="0" borderId="1" xfId="0" applyNumberFormat="1" applyFont="1" applyFill="1" applyBorder="1" applyAlignment="1" applyProtection="1">
      <alignment wrapText="1"/>
    </xf>
    <xf numFmtId="3" fontId="6" fillId="0" borderId="14" xfId="0" applyNumberFormat="1" applyFont="1" applyFill="1" applyBorder="1" applyAlignment="1" applyProtection="1">
      <alignment wrapText="1"/>
    </xf>
    <xf numFmtId="3" fontId="6" fillId="0" borderId="15" xfId="0" applyNumberFormat="1" applyFont="1" applyFill="1" applyBorder="1" applyAlignment="1" applyProtection="1">
      <alignment wrapText="1"/>
    </xf>
    <xf numFmtId="3" fontId="7" fillId="0" borderId="14" xfId="0" applyNumberFormat="1" applyFont="1" applyFill="1" applyBorder="1" applyAlignment="1" applyProtection="1">
      <alignment wrapText="1"/>
    </xf>
    <xf numFmtId="3" fontId="7" fillId="0" borderId="15" xfId="0" applyNumberFormat="1" applyFont="1" applyFill="1" applyBorder="1" applyAlignment="1" applyProtection="1">
      <alignment wrapText="1"/>
    </xf>
    <xf numFmtId="3" fontId="11" fillId="2" borderId="14" xfId="0" applyNumberFormat="1" applyFont="1" applyFill="1" applyBorder="1" applyAlignment="1" applyProtection="1">
      <alignment wrapText="1"/>
    </xf>
    <xf numFmtId="3" fontId="11" fillId="2" borderId="15" xfId="0" applyNumberFormat="1" applyFont="1" applyFill="1" applyBorder="1" applyAlignment="1" applyProtection="1">
      <alignment wrapText="1"/>
    </xf>
    <xf numFmtId="4" fontId="11" fillId="2" borderId="15" xfId="0" applyNumberFormat="1" applyFont="1" applyFill="1" applyBorder="1" applyAlignment="1" applyProtection="1">
      <alignment wrapText="1"/>
    </xf>
    <xf numFmtId="0" fontId="7" fillId="3" borderId="1" xfId="0" applyNumberFormat="1" applyFont="1" applyFill="1" applyBorder="1" applyAlignment="1" applyProtection="1">
      <alignment horizontal="left" wrapText="1"/>
    </xf>
    <xf numFmtId="3" fontId="7" fillId="3" borderId="1" xfId="0" applyNumberFormat="1" applyFont="1" applyFill="1" applyBorder="1" applyAlignment="1" applyProtection="1">
      <alignment wrapText="1"/>
    </xf>
    <xf numFmtId="2" fontId="7" fillId="3" borderId="1" xfId="0" applyNumberFormat="1" applyFont="1" applyFill="1" applyBorder="1" applyAlignment="1" applyProtection="1">
      <alignment wrapText="1"/>
    </xf>
    <xf numFmtId="0" fontId="7" fillId="3" borderId="1" xfId="0" applyNumberFormat="1" applyFont="1" applyFill="1" applyBorder="1" applyAlignment="1" applyProtection="1">
      <alignment horizontal="right" vertical="top" wrapText="1"/>
    </xf>
    <xf numFmtId="164" fontId="8" fillId="0" borderId="1" xfId="0" applyNumberFormat="1" applyFont="1" applyFill="1" applyBorder="1" applyAlignment="1" applyProtection="1">
      <alignment horizontal="right" vertical="top" wrapText="1"/>
    </xf>
    <xf numFmtId="0" fontId="7" fillId="4" borderId="1" xfId="0" applyNumberFormat="1" applyFont="1" applyFill="1" applyBorder="1" applyAlignment="1" applyProtection="1">
      <alignment horizontal="center" vertical="center" wrapText="1"/>
    </xf>
    <xf numFmtId="0" fontId="7" fillId="4" borderId="1" xfId="0" applyNumberFormat="1" applyFont="1" applyFill="1" applyBorder="1" applyAlignment="1" applyProtection="1">
      <alignment vertical="center" wrapText="1"/>
    </xf>
    <xf numFmtId="0" fontId="7" fillId="5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wrapText="1"/>
    </xf>
    <xf numFmtId="4" fontId="6" fillId="0" borderId="1" xfId="0" applyNumberFormat="1" applyFont="1" applyFill="1" applyBorder="1" applyAlignment="1" applyProtection="1">
      <alignment wrapText="1"/>
    </xf>
    <xf numFmtId="3" fontId="6" fillId="0" borderId="0" xfId="0" applyNumberFormat="1" applyFont="1" applyFill="1" applyBorder="1" applyAlignment="1" applyProtection="1">
      <alignment horizontal="center" vertical="top" wrapText="1"/>
    </xf>
    <xf numFmtId="164" fontId="6" fillId="0" borderId="1" xfId="0" applyNumberFormat="1" applyFont="1" applyFill="1" applyBorder="1" applyAlignment="1" applyProtection="1">
      <alignment wrapText="1"/>
    </xf>
    <xf numFmtId="164" fontId="8" fillId="0" borderId="1" xfId="0" applyNumberFormat="1" applyFont="1" applyFill="1" applyBorder="1" applyAlignment="1" applyProtection="1">
      <alignment wrapText="1"/>
    </xf>
    <xf numFmtId="164" fontId="7" fillId="3" borderId="1" xfId="0" applyNumberFormat="1" applyFont="1" applyFill="1" applyBorder="1" applyAlignment="1" applyProtection="1">
      <alignment wrapText="1"/>
    </xf>
    <xf numFmtId="164" fontId="7" fillId="2" borderId="1" xfId="0" applyNumberFormat="1" applyFont="1" applyFill="1" applyBorder="1" applyAlignment="1" applyProtection="1">
      <alignment horizontal="right" vertical="top" wrapText="1"/>
    </xf>
    <xf numFmtId="164" fontId="10" fillId="0" borderId="1" xfId="0" applyNumberFormat="1" applyFont="1" applyFill="1" applyBorder="1" applyAlignment="1" applyProtection="1">
      <alignment horizontal="right" vertical="top" wrapText="1"/>
    </xf>
    <xf numFmtId="164" fontId="13" fillId="0" borderId="1" xfId="0" applyNumberFormat="1" applyFont="1" applyFill="1" applyBorder="1" applyAlignment="1" applyProtection="1">
      <alignment horizontal="right" vertical="top" wrapText="1"/>
    </xf>
    <xf numFmtId="164" fontId="7" fillId="0" borderId="1" xfId="0" applyNumberFormat="1" applyFont="1" applyFill="1" applyBorder="1" applyAlignment="1" applyProtection="1">
      <alignment horizontal="right" vertical="top" wrapText="1"/>
    </xf>
    <xf numFmtId="164" fontId="7" fillId="0" borderId="1" xfId="0" applyNumberFormat="1" applyFont="1" applyFill="1" applyBorder="1" applyAlignment="1" applyProtection="1">
      <alignment wrapText="1"/>
    </xf>
    <xf numFmtId="164" fontId="6" fillId="0" borderId="1" xfId="0" applyNumberFormat="1" applyFont="1" applyFill="1" applyBorder="1" applyAlignment="1" applyProtection="1">
      <alignment horizontal="right" wrapText="1"/>
    </xf>
    <xf numFmtId="164" fontId="8" fillId="0" borderId="1" xfId="0" applyNumberFormat="1" applyFont="1" applyFill="1" applyBorder="1" applyAlignment="1" applyProtection="1">
      <alignment horizontal="right" wrapText="1"/>
    </xf>
    <xf numFmtId="0" fontId="7" fillId="3" borderId="1" xfId="0" applyNumberFormat="1" applyFont="1" applyFill="1" applyBorder="1" applyAlignment="1" applyProtection="1">
      <alignment vertical="center" wrapText="1"/>
    </xf>
    <xf numFmtId="3" fontId="7" fillId="3" borderId="1" xfId="0" applyNumberFormat="1" applyFont="1" applyFill="1" applyBorder="1" applyAlignment="1" applyProtection="1">
      <alignment vertical="center" wrapText="1"/>
    </xf>
    <xf numFmtId="164" fontId="7" fillId="3" borderId="1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 applyAlignment="1" applyProtection="1">
      <alignment vertical="center" wrapText="1"/>
    </xf>
    <xf numFmtId="3" fontId="7" fillId="0" borderId="0" xfId="0" applyNumberFormat="1" applyFont="1" applyFill="1" applyBorder="1" applyAlignment="1" applyProtection="1">
      <alignment vertical="center" wrapText="1"/>
    </xf>
    <xf numFmtId="0" fontId="7" fillId="2" borderId="4" xfId="0" applyNumberFormat="1" applyFont="1" applyFill="1" applyBorder="1" applyAlignment="1" applyProtection="1">
      <alignment horizontal="center" wrapText="1"/>
    </xf>
    <xf numFmtId="0" fontId="7" fillId="2" borderId="0" xfId="0" applyNumberFormat="1" applyFont="1" applyFill="1" applyBorder="1" applyAlignment="1" applyProtection="1">
      <alignment horizontal="center" wrapText="1"/>
    </xf>
    <xf numFmtId="0" fontId="7" fillId="3" borderId="4" xfId="0" applyNumberFormat="1" applyFont="1" applyFill="1" applyBorder="1" applyAlignment="1" applyProtection="1">
      <alignment horizontal="left" wrapText="1"/>
    </xf>
    <xf numFmtId="0" fontId="7" fillId="3" borderId="0" xfId="0" applyNumberFormat="1" applyFont="1" applyFill="1" applyBorder="1" applyAlignment="1" applyProtection="1">
      <alignment horizontal="left" wrapText="1"/>
    </xf>
    <xf numFmtId="0" fontId="7" fillId="3" borderId="2" xfId="0" applyNumberFormat="1" applyFont="1" applyFill="1" applyBorder="1" applyAlignment="1" applyProtection="1">
      <alignment horizontal="left" wrapText="1"/>
    </xf>
    <xf numFmtId="0" fontId="7" fillId="3" borderId="3" xfId="0" applyNumberFormat="1" applyFont="1" applyFill="1" applyBorder="1" applyAlignment="1" applyProtection="1">
      <alignment horizontal="left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3" borderId="7" xfId="0" applyNumberFormat="1" applyFont="1" applyFill="1" applyBorder="1" applyAlignment="1" applyProtection="1">
      <alignment horizontal="center" vertical="center" wrapText="1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9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top" wrapText="1"/>
    </xf>
    <xf numFmtId="0" fontId="7" fillId="2" borderId="3" xfId="0" applyNumberFormat="1" applyFont="1" applyFill="1" applyBorder="1" applyAlignment="1" applyProtection="1">
      <alignment horizontal="center" vertical="top" wrapText="1"/>
    </xf>
    <xf numFmtId="0" fontId="12" fillId="0" borderId="0" xfId="0" applyNumberFormat="1" applyFont="1" applyFill="1" applyBorder="1" applyAlignment="1" applyProtection="1">
      <alignment horizontal="left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7" fillId="0" borderId="14" xfId="0" applyNumberFormat="1" applyFont="1" applyFill="1" applyBorder="1" applyAlignment="1" applyProtection="1">
      <alignment horizontal="left" vertical="top" wrapText="1"/>
    </xf>
    <xf numFmtId="0" fontId="11" fillId="2" borderId="14" xfId="0" applyNumberFormat="1" applyFont="1" applyFill="1" applyBorder="1" applyAlignment="1" applyProtection="1">
      <alignment horizontal="right" vertical="top" wrapText="1"/>
    </xf>
    <xf numFmtId="0" fontId="6" fillId="0" borderId="15" xfId="0" applyNumberFormat="1" applyFont="1" applyFill="1" applyBorder="1" applyAlignment="1" applyProtection="1">
      <alignment horizontal="left" vertical="top" wrapText="1"/>
    </xf>
    <xf numFmtId="0" fontId="6" fillId="0" borderId="16" xfId="0" applyNumberFormat="1" applyFont="1" applyFill="1" applyBorder="1" applyAlignment="1" applyProtection="1">
      <alignment horizontal="left" vertical="top" wrapText="1"/>
    </xf>
    <xf numFmtId="0" fontId="6" fillId="0" borderId="17" xfId="0" applyNumberFormat="1" applyFont="1" applyFill="1" applyBorder="1" applyAlignment="1" applyProtection="1">
      <alignment horizontal="left" vertical="top" wrapText="1"/>
    </xf>
    <xf numFmtId="0" fontId="6" fillId="0" borderId="7" xfId="0" applyNumberFormat="1" applyFont="1" applyFill="1" applyBorder="1" applyAlignment="1" applyProtection="1">
      <alignment horizontal="left" wrapText="1"/>
    </xf>
    <xf numFmtId="0" fontId="6" fillId="0" borderId="8" xfId="0" applyNumberFormat="1" applyFont="1" applyFill="1" applyBorder="1" applyAlignment="1" applyProtection="1">
      <alignment horizontal="left" wrapText="1"/>
    </xf>
    <xf numFmtId="0" fontId="6" fillId="0" borderId="9" xfId="0" applyNumberFormat="1" applyFont="1" applyFill="1" applyBorder="1" applyAlignment="1" applyProtection="1">
      <alignment horizontal="left" wrapText="1"/>
    </xf>
    <xf numFmtId="0" fontId="7" fillId="2" borderId="7" xfId="0" applyNumberFormat="1" applyFont="1" applyFill="1" applyBorder="1" applyAlignment="1" applyProtection="1">
      <alignment horizontal="right" vertical="top" wrapText="1"/>
    </xf>
    <xf numFmtId="0" fontId="7" fillId="2" borderId="8" xfId="0" applyNumberFormat="1" applyFont="1" applyFill="1" applyBorder="1" applyAlignment="1" applyProtection="1">
      <alignment horizontal="right" vertical="top" wrapText="1"/>
    </xf>
    <xf numFmtId="0" fontId="7" fillId="2" borderId="9" xfId="0" applyNumberFormat="1" applyFont="1" applyFill="1" applyBorder="1" applyAlignment="1" applyProtection="1">
      <alignment horizontal="right" vertical="top" wrapText="1"/>
    </xf>
    <xf numFmtId="0" fontId="11" fillId="3" borderId="2" xfId="0" applyNumberFormat="1" applyFont="1" applyFill="1" applyBorder="1" applyAlignment="1" applyProtection="1">
      <alignment horizontal="center" wrapText="1"/>
    </xf>
    <xf numFmtId="0" fontId="11" fillId="3" borderId="3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3 4" xfId="1"/>
    <cellStyle name="Normal 3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C71"/>
  <sheetViews>
    <sheetView tabSelected="1" showOutlineSymbols="0" zoomScale="60" zoomScaleNormal="6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C1" sqref="AC1"/>
    </sheetView>
  </sheetViews>
  <sheetFormatPr defaultColWidth="14.1640625" defaultRowHeight="15" customHeight="1"/>
  <cols>
    <col min="1" max="1" width="59.5" style="2" customWidth="1"/>
    <col min="2" max="21" width="15.1640625" style="2" customWidth="1"/>
    <col min="22" max="26" width="15.6640625" style="3" customWidth="1"/>
    <col min="27" max="27" width="10.83203125" style="2" customWidth="1"/>
    <col min="28" max="16384" width="14.1640625" style="2"/>
  </cols>
  <sheetData>
    <row r="1" spans="1:27" ht="15" customHeight="1">
      <c r="AA1" s="11" t="s">
        <v>176</v>
      </c>
    </row>
    <row r="2" spans="1:27" ht="15" customHeight="1">
      <c r="AA2" s="12" t="s">
        <v>177</v>
      </c>
    </row>
    <row r="3" spans="1:27" ht="15" customHeight="1">
      <c r="AA3" s="12" t="s">
        <v>178</v>
      </c>
    </row>
    <row r="5" spans="1:27" ht="15" customHeight="1">
      <c r="A5" s="13" t="s">
        <v>179</v>
      </c>
    </row>
    <row r="6" spans="1:27" s="1" customFormat="1" ht="24.75" customHeight="1">
      <c r="A6" s="77" t="s">
        <v>48</v>
      </c>
      <c r="B6" s="79" t="s">
        <v>57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1"/>
      <c r="Q6" s="79" t="s">
        <v>153</v>
      </c>
      <c r="R6" s="80"/>
      <c r="S6" s="80"/>
      <c r="T6" s="80"/>
      <c r="U6" s="81"/>
      <c r="V6" s="82" t="s">
        <v>56</v>
      </c>
      <c r="W6" s="83"/>
      <c r="X6" s="83"/>
      <c r="Y6" s="83"/>
      <c r="Z6" s="84"/>
      <c r="AA6" s="85" t="s">
        <v>150</v>
      </c>
    </row>
    <row r="7" spans="1:27" s="1" customFormat="1" ht="75" customHeight="1">
      <c r="A7" s="78"/>
      <c r="B7" s="50" t="s">
        <v>59</v>
      </c>
      <c r="C7" s="21" t="s">
        <v>156</v>
      </c>
      <c r="D7" s="21" t="s">
        <v>161</v>
      </c>
      <c r="E7" s="21" t="s">
        <v>166</v>
      </c>
      <c r="F7" s="52" t="s">
        <v>170</v>
      </c>
      <c r="G7" s="50" t="s">
        <v>61</v>
      </c>
      <c r="H7" s="21" t="s">
        <v>157</v>
      </c>
      <c r="I7" s="21" t="s">
        <v>162</v>
      </c>
      <c r="J7" s="21" t="s">
        <v>167</v>
      </c>
      <c r="K7" s="52" t="s">
        <v>171</v>
      </c>
      <c r="L7" s="50" t="s">
        <v>60</v>
      </c>
      <c r="M7" s="21" t="s">
        <v>158</v>
      </c>
      <c r="N7" s="21" t="s">
        <v>163</v>
      </c>
      <c r="O7" s="21" t="s">
        <v>168</v>
      </c>
      <c r="P7" s="52" t="s">
        <v>172</v>
      </c>
      <c r="Q7" s="51" t="s">
        <v>153</v>
      </c>
      <c r="R7" s="21" t="s">
        <v>159</v>
      </c>
      <c r="S7" s="21" t="s">
        <v>164</v>
      </c>
      <c r="T7" s="21" t="s">
        <v>169</v>
      </c>
      <c r="U7" s="52" t="s">
        <v>173</v>
      </c>
      <c r="V7" s="50" t="s">
        <v>160</v>
      </c>
      <c r="W7" s="21" t="s">
        <v>155</v>
      </c>
      <c r="X7" s="21" t="s">
        <v>165</v>
      </c>
      <c r="Y7" s="21" t="s">
        <v>175</v>
      </c>
      <c r="Z7" s="52" t="s">
        <v>174</v>
      </c>
      <c r="AA7" s="85"/>
    </row>
    <row r="8" spans="1:27" ht="15.75" customHeight="1">
      <c r="A8" s="86" t="s">
        <v>27</v>
      </c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</row>
    <row r="9" spans="1:27" s="3" customFormat="1" ht="15.75" customHeight="1">
      <c r="A9" s="5" t="s">
        <v>23</v>
      </c>
      <c r="B9" s="29">
        <f>SUM(B10:B12)</f>
        <v>36326961</v>
      </c>
      <c r="C9" s="29">
        <f>SUM(C10:C12)</f>
        <v>0</v>
      </c>
      <c r="D9" s="29">
        <f>SUM(D10:D12)</f>
        <v>0</v>
      </c>
      <c r="E9" s="29">
        <f>SUM(E10:E12)</f>
        <v>0</v>
      </c>
      <c r="F9" s="29">
        <f>SUM(B9:E9)</f>
        <v>36326961</v>
      </c>
      <c r="G9" s="29">
        <f>SUM(G10:G12)</f>
        <v>0</v>
      </c>
      <c r="H9" s="63">
        <f>SUM(H10:H12)</f>
        <v>0</v>
      </c>
      <c r="I9" s="63">
        <f>SUM(I10:I12)</f>
        <v>0</v>
      </c>
      <c r="J9" s="63">
        <f>SUM(J10:J12)</f>
        <v>0</v>
      </c>
      <c r="K9" s="29">
        <f>SUM(G9:J9)</f>
        <v>0</v>
      </c>
      <c r="L9" s="29">
        <f>SUM(L10:L12)</f>
        <v>846048</v>
      </c>
      <c r="M9" s="29">
        <f>SUM(M10:M12)</f>
        <v>0</v>
      </c>
      <c r="N9" s="29">
        <f>SUM(N10:N12)</f>
        <v>0</v>
      </c>
      <c r="O9" s="29">
        <f>SUM(O10:O12)</f>
        <v>0</v>
      </c>
      <c r="P9" s="29">
        <f>SUM(L9:O9)</f>
        <v>846048</v>
      </c>
      <c r="Q9" s="53">
        <f>SUM(Q10:Q12)</f>
        <v>0</v>
      </c>
      <c r="R9" s="53">
        <f t="shared" ref="R9:U9" si="0">SUM(R10:R12)</f>
        <v>0</v>
      </c>
      <c r="S9" s="53">
        <f t="shared" ref="S9:T9" si="1">SUM(S10:S12)</f>
        <v>0</v>
      </c>
      <c r="T9" s="53">
        <f t="shared" si="1"/>
        <v>0</v>
      </c>
      <c r="U9" s="53">
        <f t="shared" si="0"/>
        <v>0</v>
      </c>
      <c r="V9" s="29">
        <f>B9+G9+L9+Q9</f>
        <v>37173009</v>
      </c>
      <c r="W9" s="63">
        <f>C9+H9+M9+R9</f>
        <v>0</v>
      </c>
      <c r="X9" s="63">
        <f>D9+I9+N9</f>
        <v>0</v>
      </c>
      <c r="Y9" s="63">
        <f>E9+J9+O9+T9</f>
        <v>0</v>
      </c>
      <c r="Z9" s="29">
        <f>V9+W9+X9+Y9</f>
        <v>37173009</v>
      </c>
      <c r="AA9" s="32">
        <f>Z9*100/$Z$32</f>
        <v>51.909306296168765</v>
      </c>
    </row>
    <row r="10" spans="1:27" ht="15.75" customHeight="1">
      <c r="A10" s="7" t="s">
        <v>8</v>
      </c>
      <c r="B10" s="31">
        <v>32234262</v>
      </c>
      <c r="C10" s="31">
        <v>0</v>
      </c>
      <c r="D10" s="31">
        <v>0</v>
      </c>
      <c r="E10" s="31">
        <v>0</v>
      </c>
      <c r="F10" s="31">
        <f t="shared" ref="F10:F31" si="2">SUM(B10:E10)</f>
        <v>32234262</v>
      </c>
      <c r="G10" s="31">
        <v>0</v>
      </c>
      <c r="H10" s="56">
        <v>0</v>
      </c>
      <c r="I10" s="56">
        <v>0</v>
      </c>
      <c r="J10" s="56">
        <v>0</v>
      </c>
      <c r="K10" s="31">
        <f t="shared" ref="K10:K31" si="3">SUM(G10:J10)</f>
        <v>0</v>
      </c>
      <c r="L10" s="31">
        <v>0</v>
      </c>
      <c r="M10" s="31">
        <v>0</v>
      </c>
      <c r="N10" s="31">
        <v>0</v>
      </c>
      <c r="O10" s="31">
        <v>0</v>
      </c>
      <c r="P10" s="31">
        <f t="shared" ref="P10:P31" si="4">SUM(L10:O10)</f>
        <v>0</v>
      </c>
      <c r="Q10" s="54">
        <v>0</v>
      </c>
      <c r="R10" s="31">
        <v>0</v>
      </c>
      <c r="S10" s="31">
        <v>0</v>
      </c>
      <c r="T10" s="31">
        <v>0</v>
      </c>
      <c r="U10" s="31">
        <f>SUM(Q10:T10)</f>
        <v>0</v>
      </c>
      <c r="V10" s="31">
        <f t="shared" ref="V10:V31" si="5">B10+G10+L10+Q10</f>
        <v>32234262</v>
      </c>
      <c r="W10" s="56">
        <f t="shared" ref="W10:W31" si="6">C10+H10+M10+R10</f>
        <v>0</v>
      </c>
      <c r="X10" s="56">
        <f t="shared" ref="X10:X31" si="7">D10+I10+N10</f>
        <v>0</v>
      </c>
      <c r="Y10" s="56">
        <f t="shared" ref="Y10:Y31" si="8">E10+J10+O10+T10</f>
        <v>0</v>
      </c>
      <c r="Z10" s="31">
        <f t="shared" ref="Z10:Z31" si="9">V10+W10+X10+Y10</f>
        <v>32234262</v>
      </c>
      <c r="AA10" s="32">
        <f t="shared" ref="AA10:AA31" si="10">Z10*100/$Z$32</f>
        <v>45.012718216837214</v>
      </c>
    </row>
    <row r="11" spans="1:27" ht="15.75" customHeight="1">
      <c r="A11" s="7" t="s">
        <v>10</v>
      </c>
      <c r="B11" s="31">
        <v>4092699</v>
      </c>
      <c r="C11" s="31">
        <v>0</v>
      </c>
      <c r="D11" s="31">
        <v>0</v>
      </c>
      <c r="E11" s="31">
        <v>0</v>
      </c>
      <c r="F11" s="31">
        <f t="shared" si="2"/>
        <v>4092699</v>
      </c>
      <c r="G11" s="31">
        <v>0</v>
      </c>
      <c r="H11" s="56">
        <v>0</v>
      </c>
      <c r="I11" s="56">
        <v>0</v>
      </c>
      <c r="J11" s="56">
        <v>0</v>
      </c>
      <c r="K11" s="31">
        <f t="shared" si="3"/>
        <v>0</v>
      </c>
      <c r="L11" s="31">
        <v>0</v>
      </c>
      <c r="M11" s="31">
        <v>0</v>
      </c>
      <c r="N11" s="31">
        <v>0</v>
      </c>
      <c r="O11" s="31">
        <v>0</v>
      </c>
      <c r="P11" s="31">
        <f t="shared" si="4"/>
        <v>0</v>
      </c>
      <c r="Q11" s="31">
        <v>0</v>
      </c>
      <c r="R11" s="31">
        <v>0</v>
      </c>
      <c r="S11" s="31">
        <v>0</v>
      </c>
      <c r="T11" s="31">
        <v>0</v>
      </c>
      <c r="U11" s="31">
        <f t="shared" ref="U11:U12" si="11">SUM(Q11:T11)</f>
        <v>0</v>
      </c>
      <c r="V11" s="31">
        <f t="shared" si="5"/>
        <v>4092699</v>
      </c>
      <c r="W11" s="56">
        <f t="shared" si="6"/>
        <v>0</v>
      </c>
      <c r="X11" s="56">
        <f t="shared" si="7"/>
        <v>0</v>
      </c>
      <c r="Y11" s="56">
        <f t="shared" si="8"/>
        <v>0</v>
      </c>
      <c r="Z11" s="31">
        <f t="shared" si="9"/>
        <v>4092699</v>
      </c>
      <c r="AA11" s="32">
        <f t="shared" si="10"/>
        <v>5.7151457921801168</v>
      </c>
    </row>
    <row r="12" spans="1:27" ht="29.25" customHeight="1">
      <c r="A12" s="7" t="s">
        <v>35</v>
      </c>
      <c r="B12" s="31">
        <v>0</v>
      </c>
      <c r="C12" s="31">
        <v>0</v>
      </c>
      <c r="D12" s="31">
        <v>0</v>
      </c>
      <c r="E12" s="31">
        <v>0</v>
      </c>
      <c r="F12" s="31">
        <f t="shared" si="2"/>
        <v>0</v>
      </c>
      <c r="G12" s="31">
        <v>0</v>
      </c>
      <c r="H12" s="56">
        <v>0</v>
      </c>
      <c r="I12" s="56">
        <v>0</v>
      </c>
      <c r="J12" s="56">
        <v>0</v>
      </c>
      <c r="K12" s="31">
        <f t="shared" si="3"/>
        <v>0</v>
      </c>
      <c r="L12" s="31">
        <v>846048</v>
      </c>
      <c r="M12" s="31">
        <v>0</v>
      </c>
      <c r="N12" s="31">
        <v>0</v>
      </c>
      <c r="O12" s="31">
        <v>0</v>
      </c>
      <c r="P12" s="31">
        <f t="shared" si="4"/>
        <v>846048</v>
      </c>
      <c r="Q12" s="31">
        <v>0</v>
      </c>
      <c r="R12" s="31">
        <v>0</v>
      </c>
      <c r="S12" s="31">
        <v>0</v>
      </c>
      <c r="T12" s="31">
        <v>0</v>
      </c>
      <c r="U12" s="31">
        <f t="shared" si="11"/>
        <v>0</v>
      </c>
      <c r="V12" s="31">
        <f t="shared" si="5"/>
        <v>846048</v>
      </c>
      <c r="W12" s="56">
        <f t="shared" si="6"/>
        <v>0</v>
      </c>
      <c r="X12" s="56">
        <f t="shared" si="7"/>
        <v>0</v>
      </c>
      <c r="Y12" s="56">
        <f t="shared" si="8"/>
        <v>0</v>
      </c>
      <c r="Z12" s="31">
        <f t="shared" si="9"/>
        <v>846048</v>
      </c>
      <c r="AA12" s="32">
        <f t="shared" si="10"/>
        <v>1.1814422871514381</v>
      </c>
    </row>
    <row r="13" spans="1:27" s="3" customFormat="1" ht="15.75" customHeight="1">
      <c r="A13" s="6" t="s">
        <v>24</v>
      </c>
      <c r="B13" s="29">
        <f>SUM(B14:B22)</f>
        <v>2102444</v>
      </c>
      <c r="C13" s="29">
        <f>SUM(C14:C22)</f>
        <v>5000</v>
      </c>
      <c r="D13" s="29">
        <f>SUM(D14:D22)</f>
        <v>0</v>
      </c>
      <c r="E13" s="29">
        <f>SUM(E14:E22)</f>
        <v>0</v>
      </c>
      <c r="F13" s="29">
        <f t="shared" si="2"/>
        <v>2107444</v>
      </c>
      <c r="G13" s="29">
        <f>SUM(G14:G22)</f>
        <v>0</v>
      </c>
      <c r="H13" s="63">
        <f>SUM(H14:H22)</f>
        <v>36</v>
      </c>
      <c r="I13" s="63">
        <f>SUM(I14:I22)</f>
        <v>0</v>
      </c>
      <c r="J13" s="63">
        <f>SUM(J14:J22)</f>
        <v>0</v>
      </c>
      <c r="K13" s="29">
        <f t="shared" si="3"/>
        <v>36</v>
      </c>
      <c r="L13" s="29">
        <f>SUM(L14:L22)</f>
        <v>0</v>
      </c>
      <c r="M13" s="29">
        <f>SUM(M14:M22)</f>
        <v>0</v>
      </c>
      <c r="N13" s="29">
        <f>SUM(N14:N22)</f>
        <v>0</v>
      </c>
      <c r="O13" s="29">
        <f>SUM(O14:O22)</f>
        <v>0</v>
      </c>
      <c r="P13" s="29">
        <f t="shared" si="4"/>
        <v>0</v>
      </c>
      <c r="Q13" s="29">
        <f>SUM(Q14:Q22)</f>
        <v>0</v>
      </c>
      <c r="R13" s="29">
        <f t="shared" ref="R13:U13" si="12">SUM(R14:R22)</f>
        <v>0</v>
      </c>
      <c r="S13" s="29">
        <f t="shared" ref="S13:T13" si="13">SUM(S14:S22)</f>
        <v>0</v>
      </c>
      <c r="T13" s="29">
        <f t="shared" si="13"/>
        <v>0</v>
      </c>
      <c r="U13" s="29">
        <f t="shared" si="12"/>
        <v>0</v>
      </c>
      <c r="V13" s="29">
        <f t="shared" si="5"/>
        <v>2102444</v>
      </c>
      <c r="W13" s="63">
        <f t="shared" si="6"/>
        <v>5036</v>
      </c>
      <c r="X13" s="63">
        <f t="shared" si="7"/>
        <v>0</v>
      </c>
      <c r="Y13" s="63">
        <f t="shared" si="8"/>
        <v>0</v>
      </c>
      <c r="Z13" s="29">
        <f t="shared" si="9"/>
        <v>2107480</v>
      </c>
      <c r="AA13" s="32">
        <f t="shared" si="10"/>
        <v>2.9429370335086338</v>
      </c>
    </row>
    <row r="14" spans="1:27" ht="29.25" customHeight="1">
      <c r="A14" s="7" t="s">
        <v>3</v>
      </c>
      <c r="B14" s="31">
        <v>41473</v>
      </c>
      <c r="C14" s="31">
        <v>0</v>
      </c>
      <c r="D14" s="31">
        <v>0</v>
      </c>
      <c r="E14" s="31">
        <v>0</v>
      </c>
      <c r="F14" s="31">
        <f t="shared" si="2"/>
        <v>41473</v>
      </c>
      <c r="G14" s="31">
        <v>0</v>
      </c>
      <c r="H14" s="56">
        <v>0</v>
      </c>
      <c r="I14" s="56">
        <v>0</v>
      </c>
      <c r="J14" s="56">
        <v>0</v>
      </c>
      <c r="K14" s="31">
        <f t="shared" si="3"/>
        <v>0</v>
      </c>
      <c r="L14" s="31">
        <v>0</v>
      </c>
      <c r="M14" s="31">
        <v>0</v>
      </c>
      <c r="N14" s="31">
        <v>0</v>
      </c>
      <c r="O14" s="31">
        <v>0</v>
      </c>
      <c r="P14" s="31">
        <f t="shared" si="4"/>
        <v>0</v>
      </c>
      <c r="Q14" s="31">
        <v>0</v>
      </c>
      <c r="R14" s="31">
        <v>0</v>
      </c>
      <c r="S14" s="31">
        <v>0</v>
      </c>
      <c r="T14" s="31">
        <v>0</v>
      </c>
      <c r="U14" s="31">
        <f>SUM(Q14:T14)</f>
        <v>0</v>
      </c>
      <c r="V14" s="31">
        <f t="shared" si="5"/>
        <v>41473</v>
      </c>
      <c r="W14" s="56">
        <f t="shared" si="6"/>
        <v>0</v>
      </c>
      <c r="X14" s="56">
        <f t="shared" si="7"/>
        <v>0</v>
      </c>
      <c r="Y14" s="56">
        <f t="shared" si="8"/>
        <v>0</v>
      </c>
      <c r="Z14" s="31">
        <f t="shared" si="9"/>
        <v>41473</v>
      </c>
      <c r="AA14" s="32">
        <f t="shared" si="10"/>
        <v>5.791391974808946E-2</v>
      </c>
    </row>
    <row r="15" spans="1:27" ht="15.75" customHeight="1">
      <c r="A15" s="7" t="s">
        <v>14</v>
      </c>
      <c r="B15" s="31">
        <v>9465</v>
      </c>
      <c r="C15" s="31">
        <v>0</v>
      </c>
      <c r="D15" s="31">
        <v>0</v>
      </c>
      <c r="E15" s="31">
        <v>0</v>
      </c>
      <c r="F15" s="31">
        <f t="shared" si="2"/>
        <v>9465</v>
      </c>
      <c r="G15" s="31">
        <v>0</v>
      </c>
      <c r="H15" s="56">
        <v>0</v>
      </c>
      <c r="I15" s="56">
        <v>0</v>
      </c>
      <c r="J15" s="56">
        <v>0</v>
      </c>
      <c r="K15" s="31">
        <f t="shared" si="3"/>
        <v>0</v>
      </c>
      <c r="L15" s="31">
        <v>0</v>
      </c>
      <c r="M15" s="31">
        <v>0</v>
      </c>
      <c r="N15" s="31">
        <v>0</v>
      </c>
      <c r="O15" s="31">
        <v>0</v>
      </c>
      <c r="P15" s="31">
        <f t="shared" si="4"/>
        <v>0</v>
      </c>
      <c r="Q15" s="31">
        <v>0</v>
      </c>
      <c r="R15" s="31">
        <v>0</v>
      </c>
      <c r="S15" s="31">
        <v>0</v>
      </c>
      <c r="T15" s="31">
        <v>0</v>
      </c>
      <c r="U15" s="31">
        <f t="shared" ref="U15:U22" si="14">SUM(Q15:T15)</f>
        <v>0</v>
      </c>
      <c r="V15" s="31">
        <f t="shared" si="5"/>
        <v>9465</v>
      </c>
      <c r="W15" s="56">
        <f t="shared" si="6"/>
        <v>0</v>
      </c>
      <c r="X15" s="56">
        <f t="shared" si="7"/>
        <v>0</v>
      </c>
      <c r="Y15" s="56">
        <f t="shared" si="8"/>
        <v>0</v>
      </c>
      <c r="Z15" s="31">
        <f t="shared" si="9"/>
        <v>9465</v>
      </c>
      <c r="AA15" s="32">
        <f t="shared" si="10"/>
        <v>1.3217159366712481E-2</v>
      </c>
    </row>
    <row r="16" spans="1:27" ht="15.75" customHeight="1">
      <c r="A16" s="7" t="s">
        <v>5</v>
      </c>
      <c r="B16" s="31">
        <v>20530</v>
      </c>
      <c r="C16" s="31">
        <v>0</v>
      </c>
      <c r="D16" s="31">
        <v>0</v>
      </c>
      <c r="E16" s="31">
        <v>0</v>
      </c>
      <c r="F16" s="31">
        <f t="shared" si="2"/>
        <v>20530</v>
      </c>
      <c r="G16" s="31">
        <v>0</v>
      </c>
      <c r="H16" s="56">
        <v>0</v>
      </c>
      <c r="I16" s="56">
        <v>0</v>
      </c>
      <c r="J16" s="56">
        <v>0</v>
      </c>
      <c r="K16" s="31">
        <f t="shared" si="3"/>
        <v>0</v>
      </c>
      <c r="L16" s="31">
        <v>0</v>
      </c>
      <c r="M16" s="31">
        <v>0</v>
      </c>
      <c r="N16" s="31">
        <v>0</v>
      </c>
      <c r="O16" s="31">
        <v>0</v>
      </c>
      <c r="P16" s="31">
        <f t="shared" si="4"/>
        <v>0</v>
      </c>
      <c r="Q16" s="31">
        <v>0</v>
      </c>
      <c r="R16" s="31">
        <v>0</v>
      </c>
      <c r="S16" s="31">
        <v>0</v>
      </c>
      <c r="T16" s="31">
        <v>0</v>
      </c>
      <c r="U16" s="31">
        <f t="shared" si="14"/>
        <v>0</v>
      </c>
      <c r="V16" s="31">
        <f t="shared" si="5"/>
        <v>20530</v>
      </c>
      <c r="W16" s="56">
        <f t="shared" si="6"/>
        <v>0</v>
      </c>
      <c r="X16" s="56">
        <f t="shared" si="7"/>
        <v>0</v>
      </c>
      <c r="Y16" s="56">
        <f t="shared" si="8"/>
        <v>0</v>
      </c>
      <c r="Z16" s="31">
        <f t="shared" si="9"/>
        <v>20530</v>
      </c>
      <c r="AA16" s="32">
        <f t="shared" si="10"/>
        <v>2.8668598182631511E-2</v>
      </c>
    </row>
    <row r="17" spans="1:27" ht="15.75" customHeight="1">
      <c r="A17" s="7" t="s">
        <v>13</v>
      </c>
      <c r="B17" s="31">
        <v>17300</v>
      </c>
      <c r="C17" s="31">
        <v>0</v>
      </c>
      <c r="D17" s="31">
        <v>0</v>
      </c>
      <c r="E17" s="31">
        <v>0</v>
      </c>
      <c r="F17" s="31">
        <f t="shared" si="2"/>
        <v>17300</v>
      </c>
      <c r="G17" s="31">
        <v>0</v>
      </c>
      <c r="H17" s="56">
        <v>0</v>
      </c>
      <c r="I17" s="56">
        <v>0</v>
      </c>
      <c r="J17" s="56">
        <v>0</v>
      </c>
      <c r="K17" s="31">
        <f t="shared" si="3"/>
        <v>0</v>
      </c>
      <c r="L17" s="31">
        <v>0</v>
      </c>
      <c r="M17" s="31">
        <v>0</v>
      </c>
      <c r="N17" s="31">
        <v>0</v>
      </c>
      <c r="O17" s="31">
        <v>0</v>
      </c>
      <c r="P17" s="31">
        <f t="shared" si="4"/>
        <v>0</v>
      </c>
      <c r="Q17" s="31">
        <v>0</v>
      </c>
      <c r="R17" s="31">
        <v>0</v>
      </c>
      <c r="S17" s="31">
        <v>0</v>
      </c>
      <c r="T17" s="31">
        <v>0</v>
      </c>
      <c r="U17" s="31">
        <f t="shared" si="14"/>
        <v>0</v>
      </c>
      <c r="V17" s="31">
        <f t="shared" si="5"/>
        <v>17300</v>
      </c>
      <c r="W17" s="56">
        <f t="shared" si="6"/>
        <v>0</v>
      </c>
      <c r="X17" s="56">
        <f t="shared" si="7"/>
        <v>0</v>
      </c>
      <c r="Y17" s="56">
        <f t="shared" si="8"/>
        <v>0</v>
      </c>
      <c r="Z17" s="31">
        <f t="shared" si="9"/>
        <v>17300</v>
      </c>
      <c r="AA17" s="32">
        <f t="shared" si="10"/>
        <v>2.4158146544545792E-2</v>
      </c>
    </row>
    <row r="18" spans="1:27" ht="30.75" customHeight="1">
      <c r="A18" s="7" t="s">
        <v>9</v>
      </c>
      <c r="B18" s="31">
        <v>7100</v>
      </c>
      <c r="C18" s="31">
        <v>0</v>
      </c>
      <c r="D18" s="31">
        <v>0</v>
      </c>
      <c r="E18" s="31">
        <v>0</v>
      </c>
      <c r="F18" s="31">
        <f t="shared" si="2"/>
        <v>7100</v>
      </c>
      <c r="G18" s="31">
        <v>0</v>
      </c>
      <c r="H18" s="56">
        <v>0</v>
      </c>
      <c r="I18" s="56">
        <v>0</v>
      </c>
      <c r="J18" s="56">
        <v>0</v>
      </c>
      <c r="K18" s="31">
        <f t="shared" si="3"/>
        <v>0</v>
      </c>
      <c r="L18" s="31">
        <v>0</v>
      </c>
      <c r="M18" s="31">
        <v>0</v>
      </c>
      <c r="N18" s="31">
        <v>0</v>
      </c>
      <c r="O18" s="31">
        <v>0</v>
      </c>
      <c r="P18" s="31">
        <f t="shared" si="4"/>
        <v>0</v>
      </c>
      <c r="Q18" s="31">
        <v>0</v>
      </c>
      <c r="R18" s="31">
        <v>0</v>
      </c>
      <c r="S18" s="31">
        <v>0</v>
      </c>
      <c r="T18" s="31">
        <v>0</v>
      </c>
      <c r="U18" s="31">
        <f t="shared" si="14"/>
        <v>0</v>
      </c>
      <c r="V18" s="31">
        <f t="shared" si="5"/>
        <v>7100</v>
      </c>
      <c r="W18" s="56">
        <f t="shared" si="6"/>
        <v>0</v>
      </c>
      <c r="X18" s="56">
        <f t="shared" si="7"/>
        <v>0</v>
      </c>
      <c r="Y18" s="56">
        <f t="shared" si="8"/>
        <v>0</v>
      </c>
      <c r="Z18" s="31">
        <f t="shared" si="9"/>
        <v>7100</v>
      </c>
      <c r="AA18" s="32">
        <f t="shared" si="10"/>
        <v>9.9146150558540539E-3</v>
      </c>
    </row>
    <row r="19" spans="1:27" ht="15" customHeight="1">
      <c r="A19" s="7" t="s">
        <v>12</v>
      </c>
      <c r="B19" s="31">
        <v>11380</v>
      </c>
      <c r="C19" s="31">
        <v>5000</v>
      </c>
      <c r="D19" s="31">
        <v>0</v>
      </c>
      <c r="E19" s="31">
        <v>0</v>
      </c>
      <c r="F19" s="31">
        <f t="shared" si="2"/>
        <v>16380</v>
      </c>
      <c r="G19" s="31">
        <v>0</v>
      </c>
      <c r="H19" s="56">
        <v>36</v>
      </c>
      <c r="I19" s="56">
        <v>0</v>
      </c>
      <c r="J19" s="56">
        <v>0</v>
      </c>
      <c r="K19" s="31">
        <f t="shared" si="3"/>
        <v>36</v>
      </c>
      <c r="L19" s="31">
        <v>0</v>
      </c>
      <c r="M19" s="31">
        <v>0</v>
      </c>
      <c r="N19" s="31">
        <v>0</v>
      </c>
      <c r="O19" s="31">
        <v>0</v>
      </c>
      <c r="P19" s="31">
        <f t="shared" si="4"/>
        <v>0</v>
      </c>
      <c r="Q19" s="31">
        <v>0</v>
      </c>
      <c r="R19" s="31">
        <v>0</v>
      </c>
      <c r="S19" s="31">
        <v>0</v>
      </c>
      <c r="T19" s="31">
        <v>0</v>
      </c>
      <c r="U19" s="31">
        <f t="shared" si="14"/>
        <v>0</v>
      </c>
      <c r="V19" s="31">
        <f t="shared" si="5"/>
        <v>11380</v>
      </c>
      <c r="W19" s="56">
        <f t="shared" si="6"/>
        <v>5036</v>
      </c>
      <c r="X19" s="56">
        <f t="shared" si="7"/>
        <v>0</v>
      </c>
      <c r="Y19" s="56">
        <f t="shared" si="8"/>
        <v>0</v>
      </c>
      <c r="Z19" s="31">
        <f t="shared" si="9"/>
        <v>16416</v>
      </c>
      <c r="AA19" s="32">
        <f t="shared" si="10"/>
        <v>2.2923707148859176E-2</v>
      </c>
    </row>
    <row r="20" spans="1:27" ht="18" customHeight="1">
      <c r="A20" s="7" t="s">
        <v>7</v>
      </c>
      <c r="B20" s="31">
        <v>66011</v>
      </c>
      <c r="C20" s="31">
        <v>0</v>
      </c>
      <c r="D20" s="31">
        <v>0</v>
      </c>
      <c r="E20" s="31">
        <v>0</v>
      </c>
      <c r="F20" s="31">
        <f t="shared" si="2"/>
        <v>66011</v>
      </c>
      <c r="G20" s="31">
        <v>0</v>
      </c>
      <c r="H20" s="56">
        <v>0</v>
      </c>
      <c r="I20" s="56">
        <v>0</v>
      </c>
      <c r="J20" s="56">
        <v>0</v>
      </c>
      <c r="K20" s="31">
        <f t="shared" si="3"/>
        <v>0</v>
      </c>
      <c r="L20" s="31">
        <v>0</v>
      </c>
      <c r="M20" s="31">
        <v>0</v>
      </c>
      <c r="N20" s="31">
        <v>0</v>
      </c>
      <c r="O20" s="31">
        <v>0</v>
      </c>
      <c r="P20" s="31">
        <f t="shared" si="4"/>
        <v>0</v>
      </c>
      <c r="Q20" s="31">
        <v>0</v>
      </c>
      <c r="R20" s="31">
        <v>0</v>
      </c>
      <c r="S20" s="31">
        <v>0</v>
      </c>
      <c r="T20" s="31">
        <v>0</v>
      </c>
      <c r="U20" s="31">
        <f t="shared" si="14"/>
        <v>0</v>
      </c>
      <c r="V20" s="31">
        <f t="shared" si="5"/>
        <v>66011</v>
      </c>
      <c r="W20" s="56">
        <f t="shared" si="6"/>
        <v>0</v>
      </c>
      <c r="X20" s="56">
        <f t="shared" si="7"/>
        <v>0</v>
      </c>
      <c r="Y20" s="56">
        <f t="shared" si="8"/>
        <v>0</v>
      </c>
      <c r="Z20" s="31">
        <f t="shared" si="9"/>
        <v>66011</v>
      </c>
      <c r="AA20" s="32">
        <f t="shared" si="10"/>
        <v>9.2179387950983377E-2</v>
      </c>
    </row>
    <row r="21" spans="1:27" ht="15.75" customHeight="1">
      <c r="A21" s="7" t="s">
        <v>4</v>
      </c>
      <c r="B21" s="31">
        <v>1863900</v>
      </c>
      <c r="C21" s="31">
        <v>0</v>
      </c>
      <c r="D21" s="31">
        <v>0</v>
      </c>
      <c r="E21" s="31">
        <v>0</v>
      </c>
      <c r="F21" s="31">
        <f t="shared" si="2"/>
        <v>1863900</v>
      </c>
      <c r="G21" s="31">
        <v>0</v>
      </c>
      <c r="H21" s="56">
        <v>0</v>
      </c>
      <c r="I21" s="56">
        <v>0</v>
      </c>
      <c r="J21" s="56">
        <v>0</v>
      </c>
      <c r="K21" s="31">
        <f t="shared" si="3"/>
        <v>0</v>
      </c>
      <c r="L21" s="31">
        <v>0</v>
      </c>
      <c r="M21" s="31">
        <v>0</v>
      </c>
      <c r="N21" s="31">
        <v>0</v>
      </c>
      <c r="O21" s="31">
        <v>0</v>
      </c>
      <c r="P21" s="31">
        <f t="shared" si="4"/>
        <v>0</v>
      </c>
      <c r="Q21" s="31">
        <v>0</v>
      </c>
      <c r="R21" s="31">
        <v>0</v>
      </c>
      <c r="S21" s="31">
        <v>0</v>
      </c>
      <c r="T21" s="31">
        <v>0</v>
      </c>
      <c r="U21" s="31">
        <f t="shared" si="14"/>
        <v>0</v>
      </c>
      <c r="V21" s="31">
        <f t="shared" si="5"/>
        <v>1863900</v>
      </c>
      <c r="W21" s="56">
        <f t="shared" si="6"/>
        <v>0</v>
      </c>
      <c r="X21" s="56">
        <f t="shared" si="7"/>
        <v>0</v>
      </c>
      <c r="Y21" s="56">
        <f t="shared" si="8"/>
        <v>0</v>
      </c>
      <c r="Z21" s="31">
        <f t="shared" si="9"/>
        <v>1863900</v>
      </c>
      <c r="AA21" s="32">
        <f t="shared" si="10"/>
        <v>2.6027959158600522</v>
      </c>
    </row>
    <row r="22" spans="1:27" ht="25.5" customHeight="1">
      <c r="A22" s="7" t="s">
        <v>0</v>
      </c>
      <c r="B22" s="31">
        <v>65285</v>
      </c>
      <c r="C22" s="31">
        <v>0</v>
      </c>
      <c r="D22" s="31">
        <v>0</v>
      </c>
      <c r="E22" s="31">
        <v>0</v>
      </c>
      <c r="F22" s="31">
        <f t="shared" si="2"/>
        <v>65285</v>
      </c>
      <c r="G22" s="31">
        <v>0</v>
      </c>
      <c r="H22" s="56">
        <v>0</v>
      </c>
      <c r="I22" s="56">
        <v>0</v>
      </c>
      <c r="J22" s="56">
        <v>0</v>
      </c>
      <c r="K22" s="31">
        <f t="shared" si="3"/>
        <v>0</v>
      </c>
      <c r="L22" s="31">
        <v>0</v>
      </c>
      <c r="M22" s="31">
        <v>0</v>
      </c>
      <c r="N22" s="31">
        <v>0</v>
      </c>
      <c r="O22" s="31">
        <v>0</v>
      </c>
      <c r="P22" s="31">
        <f t="shared" si="4"/>
        <v>0</v>
      </c>
      <c r="Q22" s="31">
        <v>0</v>
      </c>
      <c r="R22" s="31">
        <v>0</v>
      </c>
      <c r="S22" s="31">
        <v>0</v>
      </c>
      <c r="T22" s="31">
        <v>0</v>
      </c>
      <c r="U22" s="31">
        <f t="shared" si="14"/>
        <v>0</v>
      </c>
      <c r="V22" s="31">
        <f t="shared" si="5"/>
        <v>65285</v>
      </c>
      <c r="W22" s="56">
        <f t="shared" si="6"/>
        <v>0</v>
      </c>
      <c r="X22" s="56">
        <f t="shared" si="7"/>
        <v>0</v>
      </c>
      <c r="Y22" s="56">
        <f t="shared" si="8"/>
        <v>0</v>
      </c>
      <c r="Z22" s="31">
        <f t="shared" si="9"/>
        <v>65285</v>
      </c>
      <c r="AA22" s="32">
        <f t="shared" si="10"/>
        <v>9.1165583650905907E-2</v>
      </c>
    </row>
    <row r="23" spans="1:27" s="3" customFormat="1" ht="15.75" customHeight="1">
      <c r="A23" s="6" t="s">
        <v>25</v>
      </c>
      <c r="B23" s="29">
        <f>SUM(B24:B26)</f>
        <v>5605576</v>
      </c>
      <c r="C23" s="29">
        <f>SUM(C24:C26)</f>
        <v>0</v>
      </c>
      <c r="D23" s="29">
        <f>SUM(D24:D26)</f>
        <v>0</v>
      </c>
      <c r="E23" s="29">
        <f>SUM(E24:E26)</f>
        <v>0</v>
      </c>
      <c r="F23" s="29">
        <f t="shared" si="2"/>
        <v>5605576</v>
      </c>
      <c r="G23" s="29">
        <f>SUM(G24:G26)</f>
        <v>6555044</v>
      </c>
      <c r="H23" s="63">
        <f>SUM(H24:H26)</f>
        <v>-2448363</v>
      </c>
      <c r="I23" s="63">
        <f>SUM(I24:I26)</f>
        <v>0</v>
      </c>
      <c r="J23" s="63">
        <f>SUM(J24:J26)</f>
        <v>279714</v>
      </c>
      <c r="K23" s="29">
        <f t="shared" si="3"/>
        <v>4386395</v>
      </c>
      <c r="L23" s="29">
        <f>SUM(L24:L26)</f>
        <v>0</v>
      </c>
      <c r="M23" s="29">
        <f>SUM(M24:M26)</f>
        <v>0</v>
      </c>
      <c r="N23" s="29">
        <f>SUM(N24:N26)</f>
        <v>0</v>
      </c>
      <c r="O23" s="29">
        <f>SUM(O24:O26)</f>
        <v>0</v>
      </c>
      <c r="P23" s="29">
        <f t="shared" si="4"/>
        <v>0</v>
      </c>
      <c r="Q23" s="29">
        <f>SUM(Q24:Q26)</f>
        <v>16227157</v>
      </c>
      <c r="R23" s="29">
        <f t="shared" ref="R23:U23" si="15">SUM(R24:R26)</f>
        <v>84409</v>
      </c>
      <c r="S23" s="29">
        <f t="shared" ref="S23:T23" si="16">SUM(S24:S26)</f>
        <v>0</v>
      </c>
      <c r="T23" s="29">
        <f t="shared" si="16"/>
        <v>854229</v>
      </c>
      <c r="U23" s="29">
        <f t="shared" si="15"/>
        <v>17165795</v>
      </c>
      <c r="V23" s="29">
        <f t="shared" si="5"/>
        <v>28387777</v>
      </c>
      <c r="W23" s="63">
        <f t="shared" si="6"/>
        <v>-2363954</v>
      </c>
      <c r="X23" s="63">
        <f t="shared" si="7"/>
        <v>0</v>
      </c>
      <c r="Y23" s="63">
        <f t="shared" si="8"/>
        <v>1133943</v>
      </c>
      <c r="Z23" s="29">
        <f t="shared" si="9"/>
        <v>27157766</v>
      </c>
      <c r="AA23" s="32">
        <f t="shared" si="10"/>
        <v>37.92377403760019</v>
      </c>
    </row>
    <row r="24" spans="1:27" ht="39" customHeight="1">
      <c r="A24" s="7" t="s">
        <v>62</v>
      </c>
      <c r="B24" s="31">
        <v>0</v>
      </c>
      <c r="C24" s="31">
        <v>0</v>
      </c>
      <c r="D24" s="31">
        <v>0</v>
      </c>
      <c r="E24" s="31">
        <v>0</v>
      </c>
      <c r="F24" s="31">
        <f t="shared" si="2"/>
        <v>0</v>
      </c>
      <c r="G24" s="31">
        <v>40683</v>
      </c>
      <c r="H24" s="56">
        <v>38326</v>
      </c>
      <c r="I24" s="56">
        <v>0</v>
      </c>
      <c r="J24" s="56">
        <v>80838</v>
      </c>
      <c r="K24" s="31">
        <f t="shared" si="3"/>
        <v>159847</v>
      </c>
      <c r="L24" s="31">
        <v>0</v>
      </c>
      <c r="M24" s="31">
        <v>0</v>
      </c>
      <c r="N24" s="31">
        <v>0</v>
      </c>
      <c r="O24" s="31">
        <v>0</v>
      </c>
      <c r="P24" s="31">
        <f t="shared" si="4"/>
        <v>0</v>
      </c>
      <c r="Q24" s="31">
        <v>0</v>
      </c>
      <c r="R24" s="31">
        <v>0</v>
      </c>
      <c r="S24" s="31">
        <v>0</v>
      </c>
      <c r="T24" s="31">
        <v>0</v>
      </c>
      <c r="U24" s="31">
        <f>SUM(Q24:T24)</f>
        <v>0</v>
      </c>
      <c r="V24" s="31">
        <f t="shared" si="5"/>
        <v>40683</v>
      </c>
      <c r="W24" s="56">
        <f t="shared" si="6"/>
        <v>38326</v>
      </c>
      <c r="X24" s="56">
        <f t="shared" si="7"/>
        <v>0</v>
      </c>
      <c r="Y24" s="56">
        <f t="shared" si="8"/>
        <v>80838</v>
      </c>
      <c r="Z24" s="31">
        <f t="shared" si="9"/>
        <v>159847</v>
      </c>
      <c r="AA24" s="32">
        <f t="shared" si="10"/>
        <v>0.22321429194832434</v>
      </c>
    </row>
    <row r="25" spans="1:27" ht="25.5" customHeight="1">
      <c r="A25" s="7" t="s">
        <v>2</v>
      </c>
      <c r="B25" s="31">
        <v>4424639</v>
      </c>
      <c r="C25" s="31">
        <v>0</v>
      </c>
      <c r="D25" s="31">
        <v>0</v>
      </c>
      <c r="E25" s="31">
        <v>0</v>
      </c>
      <c r="F25" s="31">
        <f t="shared" si="2"/>
        <v>4424639</v>
      </c>
      <c r="G25" s="31">
        <v>6514361</v>
      </c>
      <c r="H25" s="56">
        <f>-2517689+31000</f>
        <v>-2486689</v>
      </c>
      <c r="I25" s="56">
        <v>0</v>
      </c>
      <c r="J25" s="56">
        <v>198876</v>
      </c>
      <c r="K25" s="31">
        <f t="shared" si="3"/>
        <v>4226548</v>
      </c>
      <c r="L25" s="31">
        <v>0</v>
      </c>
      <c r="M25" s="31">
        <v>0</v>
      </c>
      <c r="N25" s="31">
        <v>0</v>
      </c>
      <c r="O25" s="31">
        <v>0</v>
      </c>
      <c r="P25" s="31">
        <f t="shared" si="4"/>
        <v>0</v>
      </c>
      <c r="Q25" s="31">
        <v>16227157</v>
      </c>
      <c r="R25" s="31">
        <v>84409</v>
      </c>
      <c r="S25" s="31">
        <v>0</v>
      </c>
      <c r="T25" s="31">
        <v>854229</v>
      </c>
      <c r="U25" s="31">
        <f t="shared" ref="U25:U31" si="17">SUM(Q25:T25)</f>
        <v>17165795</v>
      </c>
      <c r="V25" s="31">
        <f t="shared" si="5"/>
        <v>27166157</v>
      </c>
      <c r="W25" s="56">
        <f t="shared" si="6"/>
        <v>-2402280</v>
      </c>
      <c r="X25" s="56">
        <f t="shared" si="7"/>
        <v>0</v>
      </c>
      <c r="Y25" s="56">
        <f t="shared" si="8"/>
        <v>1053105</v>
      </c>
      <c r="Z25" s="31">
        <f t="shared" si="9"/>
        <v>25816982</v>
      </c>
      <c r="AA25" s="32">
        <f t="shared" si="10"/>
        <v>36.051470201959589</v>
      </c>
    </row>
    <row r="26" spans="1:27" ht="16.5" customHeight="1">
      <c r="A26" s="7" t="s">
        <v>6</v>
      </c>
      <c r="B26" s="31">
        <v>1180937</v>
      </c>
      <c r="C26" s="31">
        <v>0</v>
      </c>
      <c r="D26" s="31">
        <v>0</v>
      </c>
      <c r="E26" s="31">
        <v>0</v>
      </c>
      <c r="F26" s="31">
        <f t="shared" si="2"/>
        <v>1180937</v>
      </c>
      <c r="G26" s="31">
        <v>0</v>
      </c>
      <c r="H26" s="56">
        <v>0</v>
      </c>
      <c r="I26" s="56">
        <v>0</v>
      </c>
      <c r="J26" s="56">
        <v>0</v>
      </c>
      <c r="K26" s="31">
        <f t="shared" si="3"/>
        <v>0</v>
      </c>
      <c r="L26" s="31">
        <v>0</v>
      </c>
      <c r="M26" s="31">
        <v>0</v>
      </c>
      <c r="N26" s="31">
        <v>0</v>
      </c>
      <c r="O26" s="31">
        <v>0</v>
      </c>
      <c r="P26" s="31">
        <f t="shared" si="4"/>
        <v>0</v>
      </c>
      <c r="Q26" s="31">
        <v>0</v>
      </c>
      <c r="R26" s="31">
        <v>0</v>
      </c>
      <c r="S26" s="31">
        <v>0</v>
      </c>
      <c r="T26" s="31">
        <v>0</v>
      </c>
      <c r="U26" s="31">
        <f t="shared" si="17"/>
        <v>0</v>
      </c>
      <c r="V26" s="31">
        <f t="shared" si="5"/>
        <v>1180937</v>
      </c>
      <c r="W26" s="56">
        <f t="shared" si="6"/>
        <v>0</v>
      </c>
      <c r="X26" s="56">
        <f t="shared" si="7"/>
        <v>0</v>
      </c>
      <c r="Y26" s="56">
        <f t="shared" si="8"/>
        <v>0</v>
      </c>
      <c r="Z26" s="31">
        <f t="shared" si="9"/>
        <v>1180937</v>
      </c>
      <c r="AA26" s="32">
        <f t="shared" si="10"/>
        <v>1.6490895436922703</v>
      </c>
    </row>
    <row r="27" spans="1:27" ht="16.5" customHeight="1">
      <c r="A27" s="5" t="s">
        <v>152</v>
      </c>
      <c r="B27" s="29">
        <f t="shared" ref="B27:V27" si="18">B28</f>
        <v>0</v>
      </c>
      <c r="C27" s="29">
        <v>0</v>
      </c>
      <c r="D27" s="29">
        <v>0</v>
      </c>
      <c r="E27" s="29">
        <v>0</v>
      </c>
      <c r="F27" s="29">
        <f t="shared" si="2"/>
        <v>0</v>
      </c>
      <c r="G27" s="29">
        <f t="shared" si="18"/>
        <v>112218</v>
      </c>
      <c r="H27" s="63">
        <f t="shared" si="18"/>
        <v>55423</v>
      </c>
      <c r="I27" s="63">
        <f t="shared" si="18"/>
        <v>0</v>
      </c>
      <c r="J27" s="63">
        <f t="shared" si="18"/>
        <v>15377</v>
      </c>
      <c r="K27" s="29">
        <f t="shared" si="3"/>
        <v>183018</v>
      </c>
      <c r="L27" s="29">
        <f t="shared" si="18"/>
        <v>0</v>
      </c>
      <c r="M27" s="29">
        <f t="shared" si="18"/>
        <v>0</v>
      </c>
      <c r="N27" s="29">
        <f t="shared" si="18"/>
        <v>0</v>
      </c>
      <c r="O27" s="29">
        <f t="shared" si="18"/>
        <v>0</v>
      </c>
      <c r="P27" s="29">
        <f t="shared" si="4"/>
        <v>0</v>
      </c>
      <c r="Q27" s="29">
        <f t="shared" si="18"/>
        <v>0</v>
      </c>
      <c r="R27" s="29">
        <v>0</v>
      </c>
      <c r="S27" s="29">
        <v>0</v>
      </c>
      <c r="T27" s="29">
        <v>0</v>
      </c>
      <c r="U27" s="31">
        <f t="shared" si="17"/>
        <v>0</v>
      </c>
      <c r="V27" s="29">
        <f t="shared" si="18"/>
        <v>112218</v>
      </c>
      <c r="W27" s="63">
        <f t="shared" si="6"/>
        <v>55423</v>
      </c>
      <c r="X27" s="63">
        <f t="shared" si="7"/>
        <v>0</v>
      </c>
      <c r="Y27" s="63">
        <f t="shared" si="8"/>
        <v>15377</v>
      </c>
      <c r="Z27" s="29">
        <f t="shared" si="9"/>
        <v>183018</v>
      </c>
      <c r="AA27" s="32">
        <f t="shared" si="10"/>
        <v>0.25557084764680243</v>
      </c>
    </row>
    <row r="28" spans="1:27" ht="26.25" customHeight="1">
      <c r="A28" s="7" t="s">
        <v>1</v>
      </c>
      <c r="B28" s="31">
        <v>0</v>
      </c>
      <c r="C28" s="31">
        <v>0</v>
      </c>
      <c r="D28" s="31">
        <v>0</v>
      </c>
      <c r="E28" s="31">
        <v>0</v>
      </c>
      <c r="F28" s="31">
        <f t="shared" si="2"/>
        <v>0</v>
      </c>
      <c r="G28" s="31">
        <v>112218</v>
      </c>
      <c r="H28" s="56">
        <v>55423</v>
      </c>
      <c r="I28" s="56">
        <v>0</v>
      </c>
      <c r="J28" s="56">
        <v>15377</v>
      </c>
      <c r="K28" s="31">
        <f t="shared" si="3"/>
        <v>183018</v>
      </c>
      <c r="L28" s="31">
        <v>0</v>
      </c>
      <c r="M28" s="31">
        <v>0</v>
      </c>
      <c r="N28" s="31">
        <v>0</v>
      </c>
      <c r="O28" s="31">
        <v>0</v>
      </c>
      <c r="P28" s="31">
        <f t="shared" si="4"/>
        <v>0</v>
      </c>
      <c r="Q28" s="31">
        <v>0</v>
      </c>
      <c r="R28" s="31">
        <v>0</v>
      </c>
      <c r="S28" s="31">
        <v>0</v>
      </c>
      <c r="T28" s="31">
        <v>0</v>
      </c>
      <c r="U28" s="31">
        <f t="shared" si="17"/>
        <v>0</v>
      </c>
      <c r="V28" s="31">
        <f>B28+G28+L28+Q28</f>
        <v>112218</v>
      </c>
      <c r="W28" s="56">
        <f t="shared" si="6"/>
        <v>55423</v>
      </c>
      <c r="X28" s="56">
        <f t="shared" si="7"/>
        <v>0</v>
      </c>
      <c r="Y28" s="56">
        <f t="shared" si="8"/>
        <v>15377</v>
      </c>
      <c r="Z28" s="31">
        <f t="shared" si="9"/>
        <v>183018</v>
      </c>
      <c r="AA28" s="32">
        <f t="shared" si="10"/>
        <v>0.25557084764680243</v>
      </c>
    </row>
    <row r="29" spans="1:27" s="3" customFormat="1" ht="15.75" customHeight="1">
      <c r="A29" s="5" t="s">
        <v>151</v>
      </c>
      <c r="B29" s="29">
        <f>SUM(B30:B31)</f>
        <v>4902146</v>
      </c>
      <c r="C29" s="29">
        <f>SUM(C30:C31)</f>
        <v>8622</v>
      </c>
      <c r="D29" s="29">
        <f>SUM(D30:D31)</f>
        <v>0</v>
      </c>
      <c r="E29" s="29">
        <f>SUM(E30:E31)</f>
        <v>5384</v>
      </c>
      <c r="F29" s="29">
        <f t="shared" si="2"/>
        <v>4916152</v>
      </c>
      <c r="G29" s="29">
        <f>SUM(G30:G31)</f>
        <v>410</v>
      </c>
      <c r="H29" s="63">
        <f>SUM(H30:H31)</f>
        <v>-26</v>
      </c>
      <c r="I29" s="63">
        <f>SUM(I30:I31)</f>
        <v>0</v>
      </c>
      <c r="J29" s="63">
        <f>SUM(J30:J31)</f>
        <v>0</v>
      </c>
      <c r="K29" s="29">
        <f t="shared" si="3"/>
        <v>384</v>
      </c>
      <c r="L29" s="29">
        <f>SUM(L30:L31)</f>
        <v>35000</v>
      </c>
      <c r="M29" s="29">
        <f>SUM(M30:M31)</f>
        <v>0</v>
      </c>
      <c r="N29" s="29">
        <f>SUM(N30:N31)</f>
        <v>0</v>
      </c>
      <c r="O29" s="29">
        <f>SUM(O30:O31)</f>
        <v>0</v>
      </c>
      <c r="P29" s="29">
        <f t="shared" si="4"/>
        <v>35000</v>
      </c>
      <c r="Q29" s="29">
        <f>SUM(Q30:Q31)</f>
        <v>18645</v>
      </c>
      <c r="R29" s="29">
        <f t="shared" ref="R29:U29" si="19">SUM(R30:R31)</f>
        <v>0</v>
      </c>
      <c r="S29" s="29">
        <f t="shared" ref="S29:T29" si="20">SUM(S30:S31)</f>
        <v>0</v>
      </c>
      <c r="T29" s="29">
        <f t="shared" si="20"/>
        <v>20000</v>
      </c>
      <c r="U29" s="29">
        <f t="shared" si="19"/>
        <v>38645</v>
      </c>
      <c r="V29" s="29">
        <f t="shared" si="5"/>
        <v>4956201</v>
      </c>
      <c r="W29" s="63">
        <f t="shared" si="6"/>
        <v>8596</v>
      </c>
      <c r="X29" s="63">
        <f t="shared" si="7"/>
        <v>0</v>
      </c>
      <c r="Y29" s="63">
        <f t="shared" si="8"/>
        <v>25384</v>
      </c>
      <c r="Z29" s="29">
        <f t="shared" si="9"/>
        <v>4990181</v>
      </c>
      <c r="AA29" s="32">
        <f t="shared" si="10"/>
        <v>6.9684117850756113</v>
      </c>
    </row>
    <row r="30" spans="1:27" ht="28.5" customHeight="1">
      <c r="A30" s="7" t="s">
        <v>11</v>
      </c>
      <c r="B30" s="31">
        <v>4898146</v>
      </c>
      <c r="C30" s="31">
        <v>8622</v>
      </c>
      <c r="D30" s="31">
        <v>0</v>
      </c>
      <c r="E30" s="31">
        <v>5384</v>
      </c>
      <c r="F30" s="31">
        <f t="shared" si="2"/>
        <v>4912152</v>
      </c>
      <c r="G30" s="31">
        <v>0</v>
      </c>
      <c r="H30" s="56">
        <v>0</v>
      </c>
      <c r="I30" s="56">
        <v>0</v>
      </c>
      <c r="J30" s="56">
        <v>0</v>
      </c>
      <c r="K30" s="31">
        <f t="shared" si="3"/>
        <v>0</v>
      </c>
      <c r="L30" s="31">
        <v>0</v>
      </c>
      <c r="M30" s="31">
        <v>0</v>
      </c>
      <c r="N30" s="31">
        <v>0</v>
      </c>
      <c r="O30" s="31">
        <v>0</v>
      </c>
      <c r="P30" s="31">
        <f t="shared" si="4"/>
        <v>0</v>
      </c>
      <c r="Q30" s="31">
        <v>18645</v>
      </c>
      <c r="R30" s="31">
        <v>0</v>
      </c>
      <c r="S30" s="31">
        <v>0</v>
      </c>
      <c r="T30" s="31">
        <v>20000</v>
      </c>
      <c r="U30" s="31">
        <f t="shared" si="17"/>
        <v>38645</v>
      </c>
      <c r="V30" s="31">
        <f t="shared" si="5"/>
        <v>4916791</v>
      </c>
      <c r="W30" s="56">
        <f t="shared" si="6"/>
        <v>8622</v>
      </c>
      <c r="X30" s="56">
        <f t="shared" si="7"/>
        <v>0</v>
      </c>
      <c r="Y30" s="56">
        <f t="shared" si="8"/>
        <v>25384</v>
      </c>
      <c r="Z30" s="31">
        <f t="shared" si="9"/>
        <v>4950797</v>
      </c>
      <c r="AA30" s="32">
        <f t="shared" si="10"/>
        <v>6.9134149964333922</v>
      </c>
    </row>
    <row r="31" spans="1:27" ht="39.75" customHeight="1">
      <c r="A31" s="7" t="s">
        <v>63</v>
      </c>
      <c r="B31" s="31">
        <v>4000</v>
      </c>
      <c r="C31" s="31">
        <v>0</v>
      </c>
      <c r="D31" s="31">
        <v>0</v>
      </c>
      <c r="E31" s="31">
        <v>0</v>
      </c>
      <c r="F31" s="31">
        <f t="shared" si="2"/>
        <v>4000</v>
      </c>
      <c r="G31" s="31">
        <v>410</v>
      </c>
      <c r="H31" s="56">
        <v>-26</v>
      </c>
      <c r="I31" s="56">
        <v>0</v>
      </c>
      <c r="J31" s="56">
        <v>0</v>
      </c>
      <c r="K31" s="31">
        <f t="shared" si="3"/>
        <v>384</v>
      </c>
      <c r="L31" s="31">
        <v>35000</v>
      </c>
      <c r="M31" s="31">
        <v>0</v>
      </c>
      <c r="N31" s="31">
        <v>0</v>
      </c>
      <c r="O31" s="31">
        <v>0</v>
      </c>
      <c r="P31" s="31">
        <f t="shared" si="4"/>
        <v>35000</v>
      </c>
      <c r="Q31" s="31">
        <v>0</v>
      </c>
      <c r="R31" s="31">
        <v>0</v>
      </c>
      <c r="S31" s="31">
        <v>0</v>
      </c>
      <c r="T31" s="31">
        <v>0</v>
      </c>
      <c r="U31" s="31">
        <f t="shared" si="17"/>
        <v>0</v>
      </c>
      <c r="V31" s="31">
        <f t="shared" si="5"/>
        <v>39410</v>
      </c>
      <c r="W31" s="56">
        <f t="shared" si="6"/>
        <v>-26</v>
      </c>
      <c r="X31" s="56">
        <f t="shared" si="7"/>
        <v>0</v>
      </c>
      <c r="Y31" s="56">
        <f t="shared" si="8"/>
        <v>0</v>
      </c>
      <c r="Z31" s="31">
        <f t="shared" si="9"/>
        <v>39384</v>
      </c>
      <c r="AA31" s="32">
        <f t="shared" si="10"/>
        <v>5.4996788642219165E-2</v>
      </c>
    </row>
    <row r="32" spans="1:27" s="3" customFormat="1" ht="15.75" customHeight="1">
      <c r="A32" s="45" t="s">
        <v>26</v>
      </c>
      <c r="B32" s="46">
        <f>B9+B13+B23+B27+B29</f>
        <v>48937127</v>
      </c>
      <c r="C32" s="46">
        <f t="shared" ref="C32:Z32" si="21">C9+C13+C23+C27+C29</f>
        <v>13622</v>
      </c>
      <c r="D32" s="46">
        <f t="shared" si="21"/>
        <v>0</v>
      </c>
      <c r="E32" s="46">
        <f t="shared" si="21"/>
        <v>5384</v>
      </c>
      <c r="F32" s="46">
        <f t="shared" si="21"/>
        <v>48956133</v>
      </c>
      <c r="G32" s="46">
        <f t="shared" si="21"/>
        <v>6667672</v>
      </c>
      <c r="H32" s="46">
        <f t="shared" si="21"/>
        <v>-2392930</v>
      </c>
      <c r="I32" s="46">
        <f t="shared" si="21"/>
        <v>0</v>
      </c>
      <c r="J32" s="46">
        <f t="shared" si="21"/>
        <v>295091</v>
      </c>
      <c r="K32" s="46">
        <f t="shared" si="21"/>
        <v>4569833</v>
      </c>
      <c r="L32" s="46">
        <f t="shared" si="21"/>
        <v>881048</v>
      </c>
      <c r="M32" s="46">
        <f t="shared" si="21"/>
        <v>0</v>
      </c>
      <c r="N32" s="46">
        <f t="shared" si="21"/>
        <v>0</v>
      </c>
      <c r="O32" s="46">
        <f t="shared" si="21"/>
        <v>0</v>
      </c>
      <c r="P32" s="46">
        <f t="shared" si="21"/>
        <v>881048</v>
      </c>
      <c r="Q32" s="46">
        <f t="shared" si="21"/>
        <v>16245802</v>
      </c>
      <c r="R32" s="46">
        <f t="shared" si="21"/>
        <v>84409</v>
      </c>
      <c r="S32" s="46">
        <f t="shared" si="21"/>
        <v>0</v>
      </c>
      <c r="T32" s="46">
        <f t="shared" si="21"/>
        <v>874229</v>
      </c>
      <c r="U32" s="46">
        <f t="shared" si="21"/>
        <v>17204440</v>
      </c>
      <c r="V32" s="46">
        <f t="shared" si="21"/>
        <v>72731649</v>
      </c>
      <c r="W32" s="46">
        <f t="shared" si="21"/>
        <v>-2294899</v>
      </c>
      <c r="X32" s="46">
        <f t="shared" si="21"/>
        <v>0</v>
      </c>
      <c r="Y32" s="46">
        <f t="shared" si="21"/>
        <v>1174704</v>
      </c>
      <c r="Z32" s="46">
        <f t="shared" si="21"/>
        <v>71611454</v>
      </c>
      <c r="AA32" s="47">
        <f>Z32*100/$Z$32</f>
        <v>100</v>
      </c>
    </row>
    <row r="33" spans="1:29" s="3" customFormat="1" ht="15.75" customHeight="1">
      <c r="A33" s="71" t="s">
        <v>33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</row>
    <row r="34" spans="1:29" s="3" customFormat="1" ht="15.75" customHeight="1">
      <c r="A34" s="73" t="s">
        <v>34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</row>
    <row r="35" spans="1:29" ht="15.75" customHeight="1">
      <c r="A35" s="8" t="s">
        <v>15</v>
      </c>
      <c r="B35" s="14">
        <v>28908972</v>
      </c>
      <c r="C35" s="23">
        <v>3225</v>
      </c>
      <c r="D35" s="23">
        <v>-899000</v>
      </c>
      <c r="E35" s="23">
        <v>0</v>
      </c>
      <c r="F35" s="14">
        <f>SUM(B35:E35)</f>
        <v>28013197</v>
      </c>
      <c r="G35" s="14">
        <v>365850</v>
      </c>
      <c r="H35" s="23">
        <v>4518</v>
      </c>
      <c r="I35" s="23">
        <v>0</v>
      </c>
      <c r="J35" s="23">
        <v>-516</v>
      </c>
      <c r="K35" s="14">
        <f>SUM(G35:J35)</f>
        <v>369852</v>
      </c>
      <c r="L35" s="14">
        <v>0</v>
      </c>
      <c r="M35" s="14">
        <v>0</v>
      </c>
      <c r="N35" s="14">
        <v>0</v>
      </c>
      <c r="O35" s="14">
        <v>0</v>
      </c>
      <c r="P35" s="14">
        <f>SUM(L35:O35)</f>
        <v>0</v>
      </c>
      <c r="Q35" s="14">
        <v>15532639</v>
      </c>
      <c r="R35" s="23">
        <v>-10555</v>
      </c>
      <c r="S35" s="23">
        <v>0</v>
      </c>
      <c r="T35" s="23">
        <v>840873</v>
      </c>
      <c r="U35" s="14">
        <f>SUM(Q35:T35)</f>
        <v>16362957</v>
      </c>
      <c r="V35" s="15">
        <f>B35+G35+L35+Q35</f>
        <v>44807461</v>
      </c>
      <c r="W35" s="23">
        <f>C35+H35+M35+R35</f>
        <v>-2812</v>
      </c>
      <c r="X35" s="23">
        <f>D35+I35+N35+S35</f>
        <v>-899000</v>
      </c>
      <c r="Y35" s="23">
        <f t="shared" ref="Y35:Y47" si="22">E35+J35+O35+T35</f>
        <v>840357</v>
      </c>
      <c r="Z35" s="15">
        <f>V35+W35+X35+Y35</f>
        <v>44746006</v>
      </c>
      <c r="AA35" s="32">
        <f>Z35*100/$Z$48</f>
        <v>57.741086067796303</v>
      </c>
    </row>
    <row r="36" spans="1:29" ht="15.75" customHeight="1">
      <c r="A36" s="8" t="s">
        <v>16</v>
      </c>
      <c r="B36" s="14">
        <f>14229952-330000</f>
        <v>13899952</v>
      </c>
      <c r="C36" s="23">
        <f>-558681-9051</f>
        <v>-567732</v>
      </c>
      <c r="D36" s="23">
        <v>-101000</v>
      </c>
      <c r="E36" s="23">
        <v>-95645</v>
      </c>
      <c r="F36" s="14">
        <f t="shared" ref="F36:F47" si="23">SUM(B36:E36)</f>
        <v>13135575</v>
      </c>
      <c r="G36" s="14">
        <v>1002453</v>
      </c>
      <c r="H36" s="23">
        <v>-5442</v>
      </c>
      <c r="I36" s="23">
        <v>0</v>
      </c>
      <c r="J36" s="23">
        <v>-3798</v>
      </c>
      <c r="K36" s="14">
        <f t="shared" ref="K36:K47" si="24">SUM(G36:J36)</f>
        <v>993213</v>
      </c>
      <c r="L36" s="14">
        <v>1111000</v>
      </c>
      <c r="M36" s="14">
        <v>0</v>
      </c>
      <c r="N36" s="14">
        <v>0</v>
      </c>
      <c r="O36" s="14">
        <v>-137025</v>
      </c>
      <c r="P36" s="14">
        <f t="shared" ref="P36:P47" si="25">SUM(L36:O36)</f>
        <v>973975</v>
      </c>
      <c r="Q36" s="14">
        <v>2062506</v>
      </c>
      <c r="R36" s="23">
        <v>151503</v>
      </c>
      <c r="S36" s="23">
        <v>0</v>
      </c>
      <c r="T36" s="23">
        <v>16271</v>
      </c>
      <c r="U36" s="14">
        <f t="shared" ref="U36:U47" si="26">SUM(Q36:T36)</f>
        <v>2230280</v>
      </c>
      <c r="V36" s="15">
        <f t="shared" ref="V36:V47" si="27">B36+G36+L36+Q36</f>
        <v>18075911</v>
      </c>
      <c r="W36" s="23">
        <f t="shared" ref="W36:W47" si="28">C36+H36+M36+R36</f>
        <v>-421671</v>
      </c>
      <c r="X36" s="23">
        <f t="shared" ref="X36:X47" si="29">D36+I36+N36+S36</f>
        <v>-101000</v>
      </c>
      <c r="Y36" s="23">
        <f t="shared" si="22"/>
        <v>-220197</v>
      </c>
      <c r="Z36" s="15">
        <f t="shared" ref="Z36:Z47" si="30">V36+W36+X36+Y36</f>
        <v>17333043</v>
      </c>
      <c r="AA36" s="32">
        <f t="shared" ref="AA36:AA47" si="31">Z36*100/$Z$48</f>
        <v>22.366884045021006</v>
      </c>
    </row>
    <row r="37" spans="1:29" ht="15.75" customHeight="1">
      <c r="A37" s="8" t="s">
        <v>17</v>
      </c>
      <c r="B37" s="14">
        <v>1133898</v>
      </c>
      <c r="C37" s="23">
        <v>700</v>
      </c>
      <c r="D37" s="23">
        <v>0</v>
      </c>
      <c r="E37" s="23">
        <v>284</v>
      </c>
      <c r="F37" s="14">
        <f t="shared" si="23"/>
        <v>1134882</v>
      </c>
      <c r="G37" s="14">
        <f>15000+30000</f>
        <v>45000</v>
      </c>
      <c r="H37" s="23">
        <v>0</v>
      </c>
      <c r="I37" s="23">
        <v>0</v>
      </c>
      <c r="J37" s="23">
        <v>0</v>
      </c>
      <c r="K37" s="14">
        <f t="shared" si="24"/>
        <v>45000</v>
      </c>
      <c r="L37" s="14">
        <v>644800</v>
      </c>
      <c r="M37" s="14">
        <v>0</v>
      </c>
      <c r="N37" s="14">
        <v>0</v>
      </c>
      <c r="O37" s="14">
        <v>0</v>
      </c>
      <c r="P37" s="14">
        <f t="shared" si="25"/>
        <v>644800</v>
      </c>
      <c r="Q37" s="14">
        <v>7874</v>
      </c>
      <c r="R37" s="23">
        <v>0</v>
      </c>
      <c r="S37" s="23">
        <v>0</v>
      </c>
      <c r="T37" s="23">
        <v>0</v>
      </c>
      <c r="U37" s="14">
        <f t="shared" si="26"/>
        <v>7874</v>
      </c>
      <c r="V37" s="15">
        <f t="shared" si="27"/>
        <v>1831572</v>
      </c>
      <c r="W37" s="23">
        <f t="shared" si="28"/>
        <v>700</v>
      </c>
      <c r="X37" s="23">
        <f t="shared" si="29"/>
        <v>0</v>
      </c>
      <c r="Y37" s="23">
        <f t="shared" si="22"/>
        <v>284</v>
      </c>
      <c r="Z37" s="15">
        <f t="shared" si="30"/>
        <v>1832556</v>
      </c>
      <c r="AA37" s="32">
        <f t="shared" si="31"/>
        <v>2.3647646612315865</v>
      </c>
    </row>
    <row r="38" spans="1:29" ht="15.75" customHeight="1">
      <c r="A38" s="8" t="s">
        <v>18</v>
      </c>
      <c r="B38" s="14">
        <v>1233120</v>
      </c>
      <c r="C38" s="23">
        <v>0</v>
      </c>
      <c r="D38" s="23">
        <v>0</v>
      </c>
      <c r="E38" s="23">
        <v>0</v>
      </c>
      <c r="F38" s="14">
        <f t="shared" si="23"/>
        <v>1233120</v>
      </c>
      <c r="G38" s="14">
        <v>0</v>
      </c>
      <c r="H38" s="23">
        <v>0</v>
      </c>
      <c r="I38" s="23">
        <v>0</v>
      </c>
      <c r="J38" s="23">
        <v>0</v>
      </c>
      <c r="K38" s="14">
        <f t="shared" si="24"/>
        <v>0</v>
      </c>
      <c r="L38" s="14">
        <v>0</v>
      </c>
      <c r="M38" s="14">
        <v>0</v>
      </c>
      <c r="N38" s="14">
        <v>0</v>
      </c>
      <c r="O38" s="14">
        <v>0</v>
      </c>
      <c r="P38" s="14">
        <f t="shared" si="25"/>
        <v>0</v>
      </c>
      <c r="Q38" s="14">
        <v>0</v>
      </c>
      <c r="R38" s="23">
        <v>0</v>
      </c>
      <c r="S38" s="23">
        <v>0</v>
      </c>
      <c r="T38" s="23">
        <v>0</v>
      </c>
      <c r="U38" s="14">
        <f t="shared" si="26"/>
        <v>0</v>
      </c>
      <c r="V38" s="15">
        <f t="shared" si="27"/>
        <v>1233120</v>
      </c>
      <c r="W38" s="23">
        <f t="shared" si="28"/>
        <v>0</v>
      </c>
      <c r="X38" s="23">
        <f t="shared" si="29"/>
        <v>0</v>
      </c>
      <c r="Y38" s="23">
        <f t="shared" si="22"/>
        <v>0</v>
      </c>
      <c r="Z38" s="15">
        <f t="shared" si="30"/>
        <v>1233120</v>
      </c>
      <c r="AA38" s="32">
        <f t="shared" si="31"/>
        <v>1.5912411948436467</v>
      </c>
    </row>
    <row r="39" spans="1:29" ht="15.75" customHeight="1">
      <c r="A39" s="8" t="s">
        <v>19</v>
      </c>
      <c r="B39" s="14">
        <f>1681852+722500+300000</f>
        <v>2704352</v>
      </c>
      <c r="C39" s="23">
        <v>-907496</v>
      </c>
      <c r="D39" s="23">
        <v>0</v>
      </c>
      <c r="E39" s="23">
        <v>-1886</v>
      </c>
      <c r="F39" s="14">
        <f t="shared" si="23"/>
        <v>1794970</v>
      </c>
      <c r="G39" s="14">
        <v>16393118</v>
      </c>
      <c r="H39" s="23">
        <v>-8331221</v>
      </c>
      <c r="I39" s="23">
        <v>0</v>
      </c>
      <c r="J39" s="23">
        <v>-2051448</v>
      </c>
      <c r="K39" s="14">
        <f t="shared" si="24"/>
        <v>6010449</v>
      </c>
      <c r="L39" s="14">
        <v>25000</v>
      </c>
      <c r="M39" s="14">
        <v>0</v>
      </c>
      <c r="N39" s="14">
        <v>0</v>
      </c>
      <c r="O39" s="14">
        <v>137025</v>
      </c>
      <c r="P39" s="14">
        <f t="shared" si="25"/>
        <v>162025</v>
      </c>
      <c r="Q39" s="14">
        <v>586220</v>
      </c>
      <c r="R39" s="23">
        <v>-56599</v>
      </c>
      <c r="S39" s="23">
        <v>0</v>
      </c>
      <c r="T39" s="23">
        <v>16685</v>
      </c>
      <c r="U39" s="14">
        <f t="shared" si="26"/>
        <v>546306</v>
      </c>
      <c r="V39" s="15">
        <f t="shared" si="27"/>
        <v>19708690</v>
      </c>
      <c r="W39" s="23">
        <f t="shared" si="28"/>
        <v>-9295316</v>
      </c>
      <c r="X39" s="23">
        <f t="shared" si="29"/>
        <v>0</v>
      </c>
      <c r="Y39" s="23">
        <f t="shared" si="22"/>
        <v>-1899624</v>
      </c>
      <c r="Z39" s="15">
        <f t="shared" si="30"/>
        <v>8513750</v>
      </c>
      <c r="AA39" s="32">
        <f t="shared" si="31"/>
        <v>10.986302811243103</v>
      </c>
    </row>
    <row r="40" spans="1:29" ht="15.75" customHeight="1">
      <c r="A40" s="8" t="s">
        <v>20</v>
      </c>
      <c r="B40" s="14">
        <v>2136391</v>
      </c>
      <c r="C40" s="23">
        <v>-7700</v>
      </c>
      <c r="D40" s="23">
        <v>0</v>
      </c>
      <c r="E40" s="23">
        <v>49904</v>
      </c>
      <c r="F40" s="14">
        <f t="shared" si="23"/>
        <v>2178595</v>
      </c>
      <c r="G40" s="14">
        <v>126203</v>
      </c>
      <c r="H40" s="23">
        <v>233</v>
      </c>
      <c r="I40" s="23">
        <v>0</v>
      </c>
      <c r="J40" s="23">
        <v>500</v>
      </c>
      <c r="K40" s="14">
        <f t="shared" si="24"/>
        <v>126936</v>
      </c>
      <c r="L40" s="14">
        <v>0</v>
      </c>
      <c r="M40" s="14">
        <v>0</v>
      </c>
      <c r="N40" s="14">
        <v>0</v>
      </c>
      <c r="O40" s="14">
        <v>0</v>
      </c>
      <c r="P40" s="14">
        <f t="shared" si="25"/>
        <v>0</v>
      </c>
      <c r="Q40" s="14">
        <v>37320</v>
      </c>
      <c r="R40" s="23">
        <v>0</v>
      </c>
      <c r="S40" s="23">
        <v>0</v>
      </c>
      <c r="T40" s="23">
        <v>400</v>
      </c>
      <c r="U40" s="14">
        <f t="shared" si="26"/>
        <v>37720</v>
      </c>
      <c r="V40" s="15">
        <f t="shared" si="27"/>
        <v>2299914</v>
      </c>
      <c r="W40" s="23">
        <f t="shared" si="28"/>
        <v>-7467</v>
      </c>
      <c r="X40" s="23">
        <f t="shared" si="29"/>
        <v>0</v>
      </c>
      <c r="Y40" s="23">
        <f t="shared" si="22"/>
        <v>50804</v>
      </c>
      <c r="Z40" s="15">
        <f t="shared" si="30"/>
        <v>2343251</v>
      </c>
      <c r="AA40" s="32">
        <f t="shared" si="31"/>
        <v>3.0237750754659478</v>
      </c>
    </row>
    <row r="41" spans="1:29" ht="24" customHeight="1">
      <c r="A41" s="7" t="s">
        <v>21</v>
      </c>
      <c r="B41" s="14">
        <f>SUM(B42:B46)</f>
        <v>1377269</v>
      </c>
      <c r="C41" s="23">
        <f>SUM(C42:C46)</f>
        <v>-700</v>
      </c>
      <c r="D41" s="23">
        <f>SUM(D42:D46)</f>
        <v>0</v>
      </c>
      <c r="E41" s="23">
        <f>SUM(E42:E46)</f>
        <v>52727</v>
      </c>
      <c r="F41" s="14">
        <f t="shared" si="23"/>
        <v>1429296</v>
      </c>
      <c r="G41" s="14">
        <f>SUM(G42:G46)</f>
        <v>36215</v>
      </c>
      <c r="H41" s="23">
        <f>SUM(H42:H46)</f>
        <v>24224</v>
      </c>
      <c r="I41" s="23">
        <f>SUM(I42:I46)</f>
        <v>0</v>
      </c>
      <c r="J41" s="23">
        <f>SUM(J42:J46)</f>
        <v>0</v>
      </c>
      <c r="K41" s="14">
        <f t="shared" si="24"/>
        <v>60439</v>
      </c>
      <c r="L41" s="14">
        <f>SUM(L42:L46)</f>
        <v>0</v>
      </c>
      <c r="M41" s="14">
        <f t="shared" ref="M41" si="32">SUM(M42:M46)</f>
        <v>0</v>
      </c>
      <c r="N41" s="14">
        <f t="shared" ref="N41:O41" si="33">SUM(N42:N46)</f>
        <v>0</v>
      </c>
      <c r="O41" s="14">
        <f t="shared" si="33"/>
        <v>0</v>
      </c>
      <c r="P41" s="14">
        <f t="shared" si="25"/>
        <v>0</v>
      </c>
      <c r="Q41" s="14">
        <f>SUM(Q42:Q46)</f>
        <v>1645</v>
      </c>
      <c r="R41" s="23">
        <f t="shared" ref="R41" si="34">SUM(R42:R46)</f>
        <v>60</v>
      </c>
      <c r="S41" s="23">
        <f t="shared" ref="S41:T41" si="35">SUM(S42:S46)</f>
        <v>0</v>
      </c>
      <c r="T41" s="23">
        <f t="shared" si="35"/>
        <v>0</v>
      </c>
      <c r="U41" s="14">
        <f t="shared" si="26"/>
        <v>1705</v>
      </c>
      <c r="V41" s="15">
        <f t="shared" si="27"/>
        <v>1415129</v>
      </c>
      <c r="W41" s="23">
        <f t="shared" si="28"/>
        <v>23584</v>
      </c>
      <c r="X41" s="23">
        <f t="shared" si="29"/>
        <v>0</v>
      </c>
      <c r="Y41" s="23">
        <f t="shared" si="22"/>
        <v>52727</v>
      </c>
      <c r="Z41" s="15">
        <f t="shared" si="30"/>
        <v>1491440</v>
      </c>
      <c r="AA41" s="32">
        <f t="shared" si="31"/>
        <v>1.9245821717575</v>
      </c>
    </row>
    <row r="42" spans="1:29" ht="26.25" customHeight="1">
      <c r="A42" s="9" t="s">
        <v>28</v>
      </c>
      <c r="B42" s="16">
        <v>1368419</v>
      </c>
      <c r="C42" s="60">
        <v>-700</v>
      </c>
      <c r="D42" s="60">
        <v>0</v>
      </c>
      <c r="E42" s="60">
        <v>52727</v>
      </c>
      <c r="F42" s="16">
        <f t="shared" si="23"/>
        <v>1420446</v>
      </c>
      <c r="G42" s="16">
        <v>0</v>
      </c>
      <c r="H42" s="60">
        <v>10648</v>
      </c>
      <c r="I42" s="60">
        <v>0</v>
      </c>
      <c r="J42" s="60">
        <v>0</v>
      </c>
      <c r="K42" s="16">
        <f t="shared" si="24"/>
        <v>10648</v>
      </c>
      <c r="L42" s="17">
        <v>0</v>
      </c>
      <c r="M42" s="17">
        <v>0</v>
      </c>
      <c r="N42" s="17">
        <v>0</v>
      </c>
      <c r="O42" s="17">
        <v>0</v>
      </c>
      <c r="P42" s="17">
        <f t="shared" si="25"/>
        <v>0</v>
      </c>
      <c r="Q42" s="16">
        <v>0</v>
      </c>
      <c r="R42" s="61">
        <v>0</v>
      </c>
      <c r="S42" s="61">
        <v>0</v>
      </c>
      <c r="T42" s="61">
        <v>0</v>
      </c>
      <c r="U42" s="17">
        <f>SUM(Q42:T42)</f>
        <v>0</v>
      </c>
      <c r="V42" s="17">
        <f t="shared" si="27"/>
        <v>1368419</v>
      </c>
      <c r="W42" s="49">
        <f t="shared" si="28"/>
        <v>9948</v>
      </c>
      <c r="X42" s="49">
        <f t="shared" si="29"/>
        <v>0</v>
      </c>
      <c r="Y42" s="49">
        <f t="shared" si="22"/>
        <v>52727</v>
      </c>
      <c r="Z42" s="17">
        <f t="shared" si="30"/>
        <v>1431094</v>
      </c>
      <c r="AA42" s="32">
        <f t="shared" si="31"/>
        <v>1.8467105606052725</v>
      </c>
    </row>
    <row r="43" spans="1:29" ht="23.25" customHeight="1">
      <c r="A43" s="9" t="s">
        <v>29</v>
      </c>
      <c r="B43" s="16">
        <v>100</v>
      </c>
      <c r="C43" s="60">
        <v>0</v>
      </c>
      <c r="D43" s="60">
        <v>0</v>
      </c>
      <c r="E43" s="60">
        <v>0</v>
      </c>
      <c r="F43" s="16">
        <f t="shared" si="23"/>
        <v>100</v>
      </c>
      <c r="G43" s="16">
        <v>0</v>
      </c>
      <c r="H43" s="60">
        <v>0</v>
      </c>
      <c r="I43" s="60">
        <v>0</v>
      </c>
      <c r="J43" s="60">
        <v>0</v>
      </c>
      <c r="K43" s="16">
        <f t="shared" si="24"/>
        <v>0</v>
      </c>
      <c r="L43" s="17">
        <v>0</v>
      </c>
      <c r="M43" s="17">
        <v>0</v>
      </c>
      <c r="N43" s="17">
        <v>0</v>
      </c>
      <c r="O43" s="17">
        <v>0</v>
      </c>
      <c r="P43" s="17">
        <f t="shared" si="25"/>
        <v>0</v>
      </c>
      <c r="Q43" s="16">
        <v>0</v>
      </c>
      <c r="R43" s="61">
        <v>0</v>
      </c>
      <c r="S43" s="61">
        <v>0</v>
      </c>
      <c r="T43" s="61">
        <v>0</v>
      </c>
      <c r="U43" s="17">
        <f t="shared" si="26"/>
        <v>0</v>
      </c>
      <c r="V43" s="17">
        <f t="shared" si="27"/>
        <v>100</v>
      </c>
      <c r="W43" s="49">
        <f t="shared" si="28"/>
        <v>0</v>
      </c>
      <c r="X43" s="49">
        <f t="shared" si="29"/>
        <v>0</v>
      </c>
      <c r="Y43" s="49">
        <f t="shared" si="22"/>
        <v>0</v>
      </c>
      <c r="Z43" s="17">
        <f t="shared" si="30"/>
        <v>100</v>
      </c>
      <c r="AA43" s="36">
        <f t="shared" si="31"/>
        <v>1.2904187709579333E-4</v>
      </c>
    </row>
    <row r="44" spans="1:29" ht="21" customHeight="1">
      <c r="A44" s="9" t="s">
        <v>30</v>
      </c>
      <c r="B44" s="16">
        <v>1750</v>
      </c>
      <c r="C44" s="60">
        <v>0</v>
      </c>
      <c r="D44" s="60">
        <v>0</v>
      </c>
      <c r="E44" s="60">
        <v>0</v>
      </c>
      <c r="F44" s="16">
        <f t="shared" si="23"/>
        <v>1750</v>
      </c>
      <c r="G44" s="16">
        <v>0</v>
      </c>
      <c r="H44" s="60">
        <v>0</v>
      </c>
      <c r="I44" s="60">
        <v>0</v>
      </c>
      <c r="J44" s="60">
        <v>0</v>
      </c>
      <c r="K44" s="16">
        <f t="shared" si="24"/>
        <v>0</v>
      </c>
      <c r="L44" s="17">
        <v>0</v>
      </c>
      <c r="M44" s="17">
        <v>0</v>
      </c>
      <c r="N44" s="17">
        <v>0</v>
      </c>
      <c r="O44" s="17">
        <v>0</v>
      </c>
      <c r="P44" s="17">
        <f t="shared" si="25"/>
        <v>0</v>
      </c>
      <c r="Q44" s="16">
        <v>1645</v>
      </c>
      <c r="R44" s="61">
        <v>60</v>
      </c>
      <c r="S44" s="61">
        <v>0</v>
      </c>
      <c r="T44" s="61">
        <v>0</v>
      </c>
      <c r="U44" s="17">
        <f t="shared" si="26"/>
        <v>1705</v>
      </c>
      <c r="V44" s="17">
        <f t="shared" si="27"/>
        <v>3395</v>
      </c>
      <c r="W44" s="49">
        <f t="shared" si="28"/>
        <v>60</v>
      </c>
      <c r="X44" s="49">
        <f t="shared" si="29"/>
        <v>0</v>
      </c>
      <c r="Y44" s="49">
        <f t="shared" si="22"/>
        <v>0</v>
      </c>
      <c r="Z44" s="17">
        <f t="shared" si="30"/>
        <v>3455</v>
      </c>
      <c r="AA44" s="36">
        <f t="shared" si="31"/>
        <v>4.4583968536596593E-3</v>
      </c>
    </row>
    <row r="45" spans="1:29" ht="25.5" customHeight="1">
      <c r="A45" s="9" t="s">
        <v>64</v>
      </c>
      <c r="B45" s="16">
        <v>7000</v>
      </c>
      <c r="C45" s="60">
        <v>0</v>
      </c>
      <c r="D45" s="60">
        <v>0</v>
      </c>
      <c r="E45" s="60">
        <v>0</v>
      </c>
      <c r="F45" s="16">
        <f t="shared" si="23"/>
        <v>7000</v>
      </c>
      <c r="G45" s="16">
        <v>0</v>
      </c>
      <c r="H45" s="60">
        <v>0</v>
      </c>
      <c r="I45" s="60">
        <v>0</v>
      </c>
      <c r="J45" s="60">
        <v>0</v>
      </c>
      <c r="K45" s="16">
        <f t="shared" si="24"/>
        <v>0</v>
      </c>
      <c r="L45" s="17">
        <v>0</v>
      </c>
      <c r="M45" s="17">
        <v>0</v>
      </c>
      <c r="N45" s="17">
        <v>0</v>
      </c>
      <c r="O45" s="17">
        <v>0</v>
      </c>
      <c r="P45" s="17">
        <f t="shared" si="25"/>
        <v>0</v>
      </c>
      <c r="Q45" s="16">
        <v>0</v>
      </c>
      <c r="R45" s="61">
        <v>0</v>
      </c>
      <c r="S45" s="61">
        <v>0</v>
      </c>
      <c r="T45" s="61">
        <v>0</v>
      </c>
      <c r="U45" s="17">
        <f t="shared" si="26"/>
        <v>0</v>
      </c>
      <c r="V45" s="17">
        <f t="shared" si="27"/>
        <v>7000</v>
      </c>
      <c r="W45" s="49">
        <f t="shared" si="28"/>
        <v>0</v>
      </c>
      <c r="X45" s="49">
        <f t="shared" si="29"/>
        <v>0</v>
      </c>
      <c r="Y45" s="49">
        <f t="shared" si="22"/>
        <v>0</v>
      </c>
      <c r="Z45" s="17">
        <f t="shared" si="30"/>
        <v>7000</v>
      </c>
      <c r="AA45" s="32">
        <f t="shared" si="31"/>
        <v>9.0329313967055323E-3</v>
      </c>
    </row>
    <row r="46" spans="1:29" ht="15.75" customHeight="1">
      <c r="A46" s="9" t="s">
        <v>31</v>
      </c>
      <c r="B46" s="16">
        <v>0</v>
      </c>
      <c r="C46" s="60">
        <v>0</v>
      </c>
      <c r="D46" s="60">
        <v>0</v>
      </c>
      <c r="E46" s="60">
        <v>0</v>
      </c>
      <c r="F46" s="16">
        <f t="shared" si="23"/>
        <v>0</v>
      </c>
      <c r="G46" s="16">
        <v>36215</v>
      </c>
      <c r="H46" s="60">
        <v>13576</v>
      </c>
      <c r="I46" s="60">
        <v>0</v>
      </c>
      <c r="J46" s="60">
        <v>0</v>
      </c>
      <c r="K46" s="16">
        <f t="shared" si="24"/>
        <v>49791</v>
      </c>
      <c r="L46" s="17">
        <v>0</v>
      </c>
      <c r="M46" s="17">
        <v>0</v>
      </c>
      <c r="N46" s="17">
        <v>0</v>
      </c>
      <c r="O46" s="17">
        <v>0</v>
      </c>
      <c r="P46" s="17">
        <f t="shared" si="25"/>
        <v>0</v>
      </c>
      <c r="Q46" s="16">
        <v>0</v>
      </c>
      <c r="R46" s="61">
        <v>0</v>
      </c>
      <c r="S46" s="61">
        <v>0</v>
      </c>
      <c r="T46" s="61">
        <v>0</v>
      </c>
      <c r="U46" s="17">
        <f t="shared" si="26"/>
        <v>0</v>
      </c>
      <c r="V46" s="17">
        <f t="shared" si="27"/>
        <v>36215</v>
      </c>
      <c r="W46" s="49">
        <f t="shared" si="28"/>
        <v>13576</v>
      </c>
      <c r="X46" s="49">
        <f t="shared" si="29"/>
        <v>0</v>
      </c>
      <c r="Y46" s="49">
        <f t="shared" si="22"/>
        <v>0</v>
      </c>
      <c r="Z46" s="17">
        <f t="shared" si="30"/>
        <v>49791</v>
      </c>
      <c r="AA46" s="32">
        <f t="shared" si="31"/>
        <v>6.4251241024766453E-2</v>
      </c>
    </row>
    <row r="47" spans="1:29" ht="15.75" customHeight="1">
      <c r="A47" s="8" t="s">
        <v>22</v>
      </c>
      <c r="B47" s="14">
        <v>0</v>
      </c>
      <c r="C47" s="23">
        <v>0</v>
      </c>
      <c r="D47" s="23">
        <v>0</v>
      </c>
      <c r="E47" s="23">
        <v>0</v>
      </c>
      <c r="F47" s="14">
        <f t="shared" si="23"/>
        <v>0</v>
      </c>
      <c r="G47" s="14">
        <v>1057</v>
      </c>
      <c r="H47" s="23">
        <v>0</v>
      </c>
      <c r="I47" s="23">
        <v>0</v>
      </c>
      <c r="J47" s="23">
        <v>0</v>
      </c>
      <c r="K47" s="14">
        <f t="shared" si="24"/>
        <v>1057</v>
      </c>
      <c r="L47" s="14">
        <v>0</v>
      </c>
      <c r="M47" s="14">
        <v>0</v>
      </c>
      <c r="N47" s="14">
        <v>0</v>
      </c>
      <c r="O47" s="14">
        <v>0</v>
      </c>
      <c r="P47" s="14">
        <f t="shared" si="25"/>
        <v>0</v>
      </c>
      <c r="Q47" s="14">
        <v>0</v>
      </c>
      <c r="R47" s="23">
        <v>0</v>
      </c>
      <c r="S47" s="23">
        <v>0</v>
      </c>
      <c r="T47" s="23">
        <v>0</v>
      </c>
      <c r="U47" s="14">
        <f t="shared" si="26"/>
        <v>0</v>
      </c>
      <c r="V47" s="15">
        <f t="shared" si="27"/>
        <v>1057</v>
      </c>
      <c r="W47" s="62">
        <f t="shared" si="28"/>
        <v>0</v>
      </c>
      <c r="X47" s="62">
        <f t="shared" si="29"/>
        <v>0</v>
      </c>
      <c r="Y47" s="62">
        <f t="shared" si="22"/>
        <v>0</v>
      </c>
      <c r="Z47" s="15">
        <f t="shared" si="30"/>
        <v>1057</v>
      </c>
      <c r="AA47" s="37">
        <f t="shared" si="31"/>
        <v>1.3639726409025354E-3</v>
      </c>
    </row>
    <row r="48" spans="1:29" s="69" customFormat="1" ht="15" customHeight="1">
      <c r="A48" s="66" t="s">
        <v>32</v>
      </c>
      <c r="B48" s="67">
        <f>SUM(B35:B41)+B47</f>
        <v>51393954</v>
      </c>
      <c r="C48" s="68">
        <f>SUM(C35:C41)+C47</f>
        <v>-1479703</v>
      </c>
      <c r="D48" s="68">
        <f>SUM(D35:D41)+D47</f>
        <v>-1000000</v>
      </c>
      <c r="E48" s="68">
        <f>SUM(E35:E41)+E47</f>
        <v>5384</v>
      </c>
      <c r="F48" s="68">
        <f t="shared" ref="F48:Z48" si="36">SUM(F35:F41)+F47</f>
        <v>48919635</v>
      </c>
      <c r="G48" s="68">
        <f t="shared" si="36"/>
        <v>17969896</v>
      </c>
      <c r="H48" s="68">
        <f t="shared" si="36"/>
        <v>-8307688</v>
      </c>
      <c r="I48" s="68">
        <f t="shared" si="36"/>
        <v>0</v>
      </c>
      <c r="J48" s="68">
        <f t="shared" si="36"/>
        <v>-2055262</v>
      </c>
      <c r="K48" s="68">
        <f t="shared" si="36"/>
        <v>7606946</v>
      </c>
      <c r="L48" s="68">
        <f t="shared" si="36"/>
        <v>1780800</v>
      </c>
      <c r="M48" s="68">
        <f t="shared" si="36"/>
        <v>0</v>
      </c>
      <c r="N48" s="68">
        <f t="shared" si="36"/>
        <v>0</v>
      </c>
      <c r="O48" s="68">
        <f t="shared" si="36"/>
        <v>0</v>
      </c>
      <c r="P48" s="68">
        <f t="shared" si="36"/>
        <v>1780800</v>
      </c>
      <c r="Q48" s="68">
        <f t="shared" si="36"/>
        <v>18228204</v>
      </c>
      <c r="R48" s="68">
        <f t="shared" si="36"/>
        <v>84409</v>
      </c>
      <c r="S48" s="68">
        <f t="shared" si="36"/>
        <v>0</v>
      </c>
      <c r="T48" s="68">
        <f t="shared" si="36"/>
        <v>874229</v>
      </c>
      <c r="U48" s="68">
        <f t="shared" si="36"/>
        <v>19186842</v>
      </c>
      <c r="V48" s="68">
        <f t="shared" si="36"/>
        <v>89372854</v>
      </c>
      <c r="W48" s="68">
        <f t="shared" si="36"/>
        <v>-9702982</v>
      </c>
      <c r="X48" s="68">
        <f t="shared" si="36"/>
        <v>-1000000</v>
      </c>
      <c r="Y48" s="68">
        <f t="shared" si="36"/>
        <v>-1175649</v>
      </c>
      <c r="Z48" s="68">
        <f t="shared" si="36"/>
        <v>77494223</v>
      </c>
      <c r="AA48" s="47">
        <f>Z48*100/$Z$48</f>
        <v>100</v>
      </c>
      <c r="AC48" s="70"/>
    </row>
    <row r="49" spans="1:27" s="3" customFormat="1" ht="15.75" customHeight="1">
      <c r="A49" s="75" t="s">
        <v>36</v>
      </c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</row>
    <row r="50" spans="1:27" ht="15" customHeight="1">
      <c r="A50" s="8" t="s">
        <v>37</v>
      </c>
      <c r="B50" s="31">
        <v>4462908</v>
      </c>
      <c r="C50" s="56">
        <v>-1371</v>
      </c>
      <c r="D50" s="56">
        <f>-123000-4400</f>
        <v>-127400</v>
      </c>
      <c r="E50" s="56">
        <v>0</v>
      </c>
      <c r="F50" s="31">
        <f>SUM(B50:E50)</f>
        <v>4334137</v>
      </c>
      <c r="G50" s="31">
        <v>0</v>
      </c>
      <c r="H50" s="56">
        <v>0</v>
      </c>
      <c r="I50" s="56">
        <v>0</v>
      </c>
      <c r="J50" s="56">
        <v>0</v>
      </c>
      <c r="K50" s="31">
        <f>SUM(G50:J50)</f>
        <v>0</v>
      </c>
      <c r="L50" s="31">
        <v>0</v>
      </c>
      <c r="M50" s="31">
        <v>0</v>
      </c>
      <c r="N50" s="31">
        <v>0</v>
      </c>
      <c r="O50" s="31">
        <v>0</v>
      </c>
      <c r="P50" s="31">
        <f>SUM(L50:N50)</f>
        <v>0</v>
      </c>
      <c r="Q50" s="31">
        <v>23679</v>
      </c>
      <c r="R50" s="31">
        <v>0</v>
      </c>
      <c r="S50" s="31">
        <v>0</v>
      </c>
      <c r="T50" s="31">
        <v>0</v>
      </c>
      <c r="U50" s="31">
        <f>SUM(Q50:T50)</f>
        <v>23679</v>
      </c>
      <c r="V50" s="31">
        <f>B50+G50+L50+Q50</f>
        <v>4486587</v>
      </c>
      <c r="W50" s="56">
        <f>C50+H50+M50+R50</f>
        <v>-1371</v>
      </c>
      <c r="X50" s="23">
        <f t="shared" ref="X50:X59" si="37">D50+I50+N50+S50</f>
        <v>-127400</v>
      </c>
      <c r="Y50" s="23">
        <f t="shared" ref="Y50:Y58" si="38">E50+J50+O50+T50</f>
        <v>0</v>
      </c>
      <c r="Z50" s="31">
        <f>V50+W50+X50+Y50</f>
        <v>4357816</v>
      </c>
      <c r="AA50" s="32">
        <f>Z50*100/$Z$59</f>
        <v>5.6234075667808163</v>
      </c>
    </row>
    <row r="51" spans="1:27" ht="15" customHeight="1">
      <c r="A51" s="8" t="s">
        <v>38</v>
      </c>
      <c r="B51" s="31">
        <v>772689</v>
      </c>
      <c r="C51" s="56">
        <v>0</v>
      </c>
      <c r="D51" s="56">
        <v>-27000</v>
      </c>
      <c r="E51" s="56">
        <v>0</v>
      </c>
      <c r="F51" s="31">
        <f t="shared" ref="F51:F58" si="39">SUM(B51:E51)</f>
        <v>745689</v>
      </c>
      <c r="G51" s="31">
        <v>0</v>
      </c>
      <c r="H51" s="56">
        <v>0</v>
      </c>
      <c r="I51" s="56">
        <v>0</v>
      </c>
      <c r="J51" s="56">
        <v>0</v>
      </c>
      <c r="K51" s="31">
        <f t="shared" ref="K51:K58" si="40">SUM(G51:J51)</f>
        <v>0</v>
      </c>
      <c r="L51" s="31">
        <v>0</v>
      </c>
      <c r="M51" s="31">
        <v>0</v>
      </c>
      <c r="N51" s="31">
        <v>0</v>
      </c>
      <c r="O51" s="31">
        <v>0</v>
      </c>
      <c r="P51" s="31">
        <f t="shared" ref="P51:P58" si="41">SUM(L51:N51)</f>
        <v>0</v>
      </c>
      <c r="Q51" s="31">
        <v>0</v>
      </c>
      <c r="R51" s="31">
        <v>0</v>
      </c>
      <c r="S51" s="31">
        <v>0</v>
      </c>
      <c r="T51" s="31">
        <v>0</v>
      </c>
      <c r="U51" s="31">
        <f t="shared" ref="U51:U58" si="42">SUM(Q51:T51)</f>
        <v>0</v>
      </c>
      <c r="V51" s="31">
        <f t="shared" ref="V51:V58" si="43">B51+G51+L51+Q51</f>
        <v>772689</v>
      </c>
      <c r="W51" s="56">
        <f t="shared" ref="W51:W58" si="44">C51+H51+M51+R51</f>
        <v>0</v>
      </c>
      <c r="X51" s="23">
        <f t="shared" si="37"/>
        <v>-27000</v>
      </c>
      <c r="Y51" s="23">
        <f t="shared" si="38"/>
        <v>0</v>
      </c>
      <c r="Z51" s="31">
        <f t="shared" ref="Z51:Z58" si="45">V51+W51+X51+Y51</f>
        <v>745689</v>
      </c>
      <c r="AA51" s="32">
        <f t="shared" ref="AA51:AA59" si="46">Z51*100/$Z$59</f>
        <v>0.96225108289685024</v>
      </c>
    </row>
    <row r="52" spans="1:27" ht="15" customHeight="1">
      <c r="A52" s="8" t="s">
        <v>39</v>
      </c>
      <c r="B52" s="31">
        <f>4297706-330000+722500</f>
        <v>4690206</v>
      </c>
      <c r="C52" s="23">
        <v>-1261711</v>
      </c>
      <c r="D52" s="23">
        <v>-34000</v>
      </c>
      <c r="E52" s="56">
        <v>-20924</v>
      </c>
      <c r="F52" s="31">
        <f t="shared" si="39"/>
        <v>3373571</v>
      </c>
      <c r="G52" s="31">
        <v>10392834</v>
      </c>
      <c r="H52" s="56">
        <v>-7431963</v>
      </c>
      <c r="I52" s="56">
        <v>0</v>
      </c>
      <c r="J52" s="56">
        <v>-2468</v>
      </c>
      <c r="K52" s="31">
        <f t="shared" si="40"/>
        <v>2958403</v>
      </c>
      <c r="L52" s="31">
        <v>0</v>
      </c>
      <c r="M52" s="31">
        <v>0</v>
      </c>
      <c r="N52" s="31">
        <v>0</v>
      </c>
      <c r="O52" s="31">
        <v>0</v>
      </c>
      <c r="P52" s="31">
        <f t="shared" si="41"/>
        <v>0</v>
      </c>
      <c r="Q52" s="31">
        <v>1658906</v>
      </c>
      <c r="R52" s="31">
        <v>0</v>
      </c>
      <c r="S52" s="31">
        <v>0</v>
      </c>
      <c r="T52" s="31">
        <v>0</v>
      </c>
      <c r="U52" s="31">
        <f t="shared" si="42"/>
        <v>1658906</v>
      </c>
      <c r="V52" s="31">
        <f t="shared" si="43"/>
        <v>16741946</v>
      </c>
      <c r="W52" s="56">
        <f t="shared" si="44"/>
        <v>-8693674</v>
      </c>
      <c r="X52" s="23">
        <f t="shared" si="37"/>
        <v>-34000</v>
      </c>
      <c r="Y52" s="23">
        <f t="shared" si="38"/>
        <v>-23392</v>
      </c>
      <c r="Z52" s="31">
        <f t="shared" si="45"/>
        <v>7990880</v>
      </c>
      <c r="AA52" s="32">
        <f t="shared" si="46"/>
        <v>10.311581548472329</v>
      </c>
    </row>
    <row r="53" spans="1:27" ht="15" customHeight="1">
      <c r="A53" s="8" t="s">
        <v>40</v>
      </c>
      <c r="B53" s="31">
        <v>195289</v>
      </c>
      <c r="C53" s="56">
        <v>0</v>
      </c>
      <c r="D53" s="56">
        <v>0</v>
      </c>
      <c r="E53" s="56">
        <v>0</v>
      </c>
      <c r="F53" s="31">
        <f t="shared" si="39"/>
        <v>195289</v>
      </c>
      <c r="G53" s="31">
        <v>317660</v>
      </c>
      <c r="H53" s="56">
        <v>-25069</v>
      </c>
      <c r="I53" s="56">
        <v>0</v>
      </c>
      <c r="J53" s="56">
        <v>0</v>
      </c>
      <c r="K53" s="31">
        <f t="shared" si="40"/>
        <v>292591</v>
      </c>
      <c r="L53" s="31">
        <v>1780800</v>
      </c>
      <c r="M53" s="31">
        <v>0</v>
      </c>
      <c r="N53" s="31">
        <v>0</v>
      </c>
      <c r="O53" s="31">
        <v>0</v>
      </c>
      <c r="P53" s="31">
        <f t="shared" si="41"/>
        <v>1780800</v>
      </c>
      <c r="Q53" s="31">
        <v>0</v>
      </c>
      <c r="R53" s="31">
        <v>0</v>
      </c>
      <c r="S53" s="31">
        <v>0</v>
      </c>
      <c r="T53" s="31">
        <v>0</v>
      </c>
      <c r="U53" s="31">
        <f t="shared" si="42"/>
        <v>0</v>
      </c>
      <c r="V53" s="31">
        <f t="shared" si="43"/>
        <v>2293749</v>
      </c>
      <c r="W53" s="56">
        <f t="shared" si="44"/>
        <v>-25069</v>
      </c>
      <c r="X53" s="23">
        <f t="shared" si="37"/>
        <v>0</v>
      </c>
      <c r="Y53" s="23">
        <f t="shared" si="38"/>
        <v>0</v>
      </c>
      <c r="Z53" s="31">
        <f t="shared" si="45"/>
        <v>2268680</v>
      </c>
      <c r="AA53" s="32">
        <f t="shared" si="46"/>
        <v>2.927547257296844</v>
      </c>
    </row>
    <row r="54" spans="1:27" ht="15" customHeight="1">
      <c r="A54" s="8" t="s">
        <v>41</v>
      </c>
      <c r="B54" s="31">
        <v>6991198</v>
      </c>
      <c r="C54" s="56">
        <f>140922-9051</f>
        <v>131871</v>
      </c>
      <c r="D54" s="56">
        <v>-96000</v>
      </c>
      <c r="E54" s="56">
        <v>10687</v>
      </c>
      <c r="F54" s="31">
        <f t="shared" si="39"/>
        <v>7037756</v>
      </c>
      <c r="G54" s="31">
        <f>624031+30000</f>
        <v>654031</v>
      </c>
      <c r="H54" s="56">
        <v>16334</v>
      </c>
      <c r="I54" s="56">
        <v>0</v>
      </c>
      <c r="J54" s="56">
        <v>-95319</v>
      </c>
      <c r="K54" s="31">
        <f t="shared" si="40"/>
        <v>575046</v>
      </c>
      <c r="L54" s="31">
        <v>0</v>
      </c>
      <c r="M54" s="31">
        <v>0</v>
      </c>
      <c r="N54" s="31">
        <v>0</v>
      </c>
      <c r="O54" s="31">
        <v>0</v>
      </c>
      <c r="P54" s="31">
        <f t="shared" si="41"/>
        <v>0</v>
      </c>
      <c r="Q54" s="31">
        <v>0</v>
      </c>
      <c r="R54" s="31">
        <v>0</v>
      </c>
      <c r="S54" s="31">
        <v>0</v>
      </c>
      <c r="T54" s="31">
        <v>0</v>
      </c>
      <c r="U54" s="31">
        <f t="shared" si="42"/>
        <v>0</v>
      </c>
      <c r="V54" s="31">
        <f t="shared" si="43"/>
        <v>7645229</v>
      </c>
      <c r="W54" s="56">
        <f t="shared" si="44"/>
        <v>148205</v>
      </c>
      <c r="X54" s="23">
        <f t="shared" si="37"/>
        <v>-96000</v>
      </c>
      <c r="Y54" s="23">
        <f t="shared" si="38"/>
        <v>-84632</v>
      </c>
      <c r="Z54" s="31">
        <f t="shared" si="45"/>
        <v>7612802</v>
      </c>
      <c r="AA54" s="32">
        <f t="shared" si="46"/>
        <v>9.8237026003860954</v>
      </c>
    </row>
    <row r="55" spans="1:27" ht="15" customHeight="1">
      <c r="A55" s="8" t="s">
        <v>42</v>
      </c>
      <c r="B55" s="31">
        <v>59000</v>
      </c>
      <c r="C55" s="56">
        <v>0</v>
      </c>
      <c r="D55" s="56">
        <v>0</v>
      </c>
      <c r="E55" s="56">
        <v>0</v>
      </c>
      <c r="F55" s="31">
        <f t="shared" si="39"/>
        <v>59000</v>
      </c>
      <c r="G55" s="31">
        <v>0</v>
      </c>
      <c r="H55" s="56">
        <v>0</v>
      </c>
      <c r="I55" s="56">
        <v>0</v>
      </c>
      <c r="J55" s="56">
        <v>0</v>
      </c>
      <c r="K55" s="31">
        <f t="shared" si="40"/>
        <v>0</v>
      </c>
      <c r="L55" s="31">
        <v>0</v>
      </c>
      <c r="M55" s="31">
        <v>0</v>
      </c>
      <c r="N55" s="31">
        <v>0</v>
      </c>
      <c r="O55" s="31">
        <v>0</v>
      </c>
      <c r="P55" s="31">
        <f t="shared" si="41"/>
        <v>0</v>
      </c>
      <c r="Q55" s="31">
        <v>0</v>
      </c>
      <c r="R55" s="31">
        <v>0</v>
      </c>
      <c r="S55" s="31">
        <v>0</v>
      </c>
      <c r="T55" s="31">
        <v>0</v>
      </c>
      <c r="U55" s="31">
        <f t="shared" si="42"/>
        <v>0</v>
      </c>
      <c r="V55" s="31">
        <f t="shared" si="43"/>
        <v>59000</v>
      </c>
      <c r="W55" s="56">
        <f t="shared" si="44"/>
        <v>0</v>
      </c>
      <c r="X55" s="23">
        <f t="shared" si="37"/>
        <v>0</v>
      </c>
      <c r="Y55" s="23">
        <f t="shared" si="38"/>
        <v>0</v>
      </c>
      <c r="Z55" s="31">
        <f t="shared" si="45"/>
        <v>59000</v>
      </c>
      <c r="AA55" s="32">
        <f t="shared" si="46"/>
        <v>7.6134707486518058E-2</v>
      </c>
    </row>
    <row r="56" spans="1:27" ht="15" customHeight="1">
      <c r="A56" s="8" t="s">
        <v>43</v>
      </c>
      <c r="B56" s="31">
        <v>4141307</v>
      </c>
      <c r="C56" s="56">
        <v>64943</v>
      </c>
      <c r="D56" s="56">
        <v>-68000</v>
      </c>
      <c r="E56" s="56">
        <v>847</v>
      </c>
      <c r="F56" s="31">
        <f t="shared" si="39"/>
        <v>4139097</v>
      </c>
      <c r="G56" s="31">
        <v>574703</v>
      </c>
      <c r="H56" s="56">
        <v>-232793</v>
      </c>
      <c r="I56" s="56">
        <v>0</v>
      </c>
      <c r="J56" s="56">
        <v>-28971</v>
      </c>
      <c r="K56" s="31">
        <f t="shared" si="40"/>
        <v>312939</v>
      </c>
      <c r="L56" s="31">
        <v>0</v>
      </c>
      <c r="M56" s="31">
        <v>0</v>
      </c>
      <c r="N56" s="31">
        <v>0</v>
      </c>
      <c r="O56" s="31">
        <v>0</v>
      </c>
      <c r="P56" s="31">
        <f t="shared" si="41"/>
        <v>0</v>
      </c>
      <c r="Q56" s="31">
        <v>60012</v>
      </c>
      <c r="R56" s="31">
        <v>0</v>
      </c>
      <c r="S56" s="31">
        <v>0</v>
      </c>
      <c r="T56" s="31">
        <v>0</v>
      </c>
      <c r="U56" s="31">
        <f t="shared" si="42"/>
        <v>60012</v>
      </c>
      <c r="V56" s="31">
        <f t="shared" si="43"/>
        <v>4776022</v>
      </c>
      <c r="W56" s="56">
        <f t="shared" si="44"/>
        <v>-167850</v>
      </c>
      <c r="X56" s="23">
        <f t="shared" si="37"/>
        <v>-68000</v>
      </c>
      <c r="Y56" s="23">
        <f t="shared" si="38"/>
        <v>-28124</v>
      </c>
      <c r="Z56" s="31">
        <f t="shared" si="45"/>
        <v>4512048</v>
      </c>
      <c r="AA56" s="32">
        <f t="shared" si="46"/>
        <v>5.8224314346632005</v>
      </c>
    </row>
    <row r="57" spans="1:27" ht="15" customHeight="1">
      <c r="A57" s="8" t="s">
        <v>44</v>
      </c>
      <c r="B57" s="31">
        <f>19438505+300000</f>
        <v>19738505</v>
      </c>
      <c r="C57" s="56">
        <v>-272851</v>
      </c>
      <c r="D57" s="56">
        <f>-438000-96600</f>
        <v>-534600</v>
      </c>
      <c r="E57" s="56">
        <v>14774</v>
      </c>
      <c r="F57" s="31">
        <f t="shared" si="39"/>
        <v>18945828</v>
      </c>
      <c r="G57" s="31">
        <v>5511960</v>
      </c>
      <c r="H57" s="56">
        <v>-638830</v>
      </c>
      <c r="I57" s="56">
        <v>0</v>
      </c>
      <c r="J57" s="56">
        <v>-1928504</v>
      </c>
      <c r="K57" s="31">
        <f t="shared" si="40"/>
        <v>2944626</v>
      </c>
      <c r="L57" s="31">
        <v>0</v>
      </c>
      <c r="M57" s="31">
        <v>0</v>
      </c>
      <c r="N57" s="31">
        <v>0</v>
      </c>
      <c r="O57" s="31">
        <v>0</v>
      </c>
      <c r="P57" s="31">
        <f t="shared" si="41"/>
        <v>0</v>
      </c>
      <c r="Q57" s="31">
        <v>15694959</v>
      </c>
      <c r="R57" s="31">
        <v>81875</v>
      </c>
      <c r="S57" s="31">
        <v>0</v>
      </c>
      <c r="T57" s="31">
        <v>663829</v>
      </c>
      <c r="U57" s="31">
        <f t="shared" si="42"/>
        <v>16440663</v>
      </c>
      <c r="V57" s="31">
        <f t="shared" si="43"/>
        <v>40945424</v>
      </c>
      <c r="W57" s="56">
        <f t="shared" si="44"/>
        <v>-829806</v>
      </c>
      <c r="X57" s="23">
        <f t="shared" si="37"/>
        <v>-534600</v>
      </c>
      <c r="Y57" s="23">
        <f t="shared" si="38"/>
        <v>-1249901</v>
      </c>
      <c r="Z57" s="31">
        <f t="shared" si="45"/>
        <v>38331117</v>
      </c>
      <c r="AA57" s="32">
        <f t="shared" si="46"/>
        <v>49.463192888584743</v>
      </c>
    </row>
    <row r="58" spans="1:27" ht="15" customHeight="1">
      <c r="A58" s="8" t="s">
        <v>45</v>
      </c>
      <c r="B58" s="31">
        <v>10342852</v>
      </c>
      <c r="C58" s="56">
        <v>-140584</v>
      </c>
      <c r="D58" s="56">
        <v>-113000</v>
      </c>
      <c r="E58" s="56">
        <v>0</v>
      </c>
      <c r="F58" s="31">
        <f t="shared" si="39"/>
        <v>10089268</v>
      </c>
      <c r="G58" s="31">
        <v>518708</v>
      </c>
      <c r="H58" s="56">
        <v>4633</v>
      </c>
      <c r="I58" s="56">
        <v>0</v>
      </c>
      <c r="J58" s="56">
        <v>0</v>
      </c>
      <c r="K58" s="31">
        <f t="shared" si="40"/>
        <v>523341</v>
      </c>
      <c r="L58" s="31">
        <v>0</v>
      </c>
      <c r="M58" s="31">
        <v>0</v>
      </c>
      <c r="N58" s="31">
        <v>0</v>
      </c>
      <c r="O58" s="31">
        <v>0</v>
      </c>
      <c r="P58" s="31">
        <f t="shared" si="41"/>
        <v>0</v>
      </c>
      <c r="Q58" s="31">
        <v>790648</v>
      </c>
      <c r="R58" s="31">
        <v>2534</v>
      </c>
      <c r="S58" s="31">
        <v>0</v>
      </c>
      <c r="T58" s="31">
        <v>210400</v>
      </c>
      <c r="U58" s="31">
        <f t="shared" si="42"/>
        <v>1003582</v>
      </c>
      <c r="V58" s="31">
        <f t="shared" si="43"/>
        <v>11652208</v>
      </c>
      <c r="W58" s="56">
        <f t="shared" si="44"/>
        <v>-133417</v>
      </c>
      <c r="X58" s="23">
        <f t="shared" si="37"/>
        <v>-113000</v>
      </c>
      <c r="Y58" s="23">
        <f t="shared" si="38"/>
        <v>210400</v>
      </c>
      <c r="Z58" s="31">
        <f t="shared" si="45"/>
        <v>11616191</v>
      </c>
      <c r="AA58" s="32">
        <f t="shared" si="46"/>
        <v>14.989750913432605</v>
      </c>
    </row>
    <row r="59" spans="1:27" s="3" customFormat="1" ht="15" customHeight="1">
      <c r="A59" s="48" t="s">
        <v>32</v>
      </c>
      <c r="B59" s="58">
        <f>SUM(B50:B58)</f>
        <v>51393954</v>
      </c>
      <c r="C59" s="58">
        <f t="shared" ref="C59:Z59" si="47">SUM(C50:C58)</f>
        <v>-1479703</v>
      </c>
      <c r="D59" s="58">
        <f t="shared" si="47"/>
        <v>-1000000</v>
      </c>
      <c r="E59" s="58">
        <f t="shared" si="47"/>
        <v>5384</v>
      </c>
      <c r="F59" s="58">
        <f t="shared" si="47"/>
        <v>48919635</v>
      </c>
      <c r="G59" s="58">
        <f t="shared" si="47"/>
        <v>17969896</v>
      </c>
      <c r="H59" s="58">
        <f t="shared" si="47"/>
        <v>-8307688</v>
      </c>
      <c r="I59" s="58">
        <f t="shared" si="47"/>
        <v>0</v>
      </c>
      <c r="J59" s="58">
        <f t="shared" si="47"/>
        <v>-2055262</v>
      </c>
      <c r="K59" s="58">
        <f t="shared" si="47"/>
        <v>7606946</v>
      </c>
      <c r="L59" s="58">
        <f t="shared" si="47"/>
        <v>1780800</v>
      </c>
      <c r="M59" s="58">
        <f t="shared" si="47"/>
        <v>0</v>
      </c>
      <c r="N59" s="58">
        <f t="shared" si="47"/>
        <v>0</v>
      </c>
      <c r="O59" s="58">
        <f t="shared" si="47"/>
        <v>0</v>
      </c>
      <c r="P59" s="58">
        <f t="shared" si="47"/>
        <v>1780800</v>
      </c>
      <c r="Q59" s="58">
        <f t="shared" si="47"/>
        <v>18228204</v>
      </c>
      <c r="R59" s="58">
        <f t="shared" si="47"/>
        <v>84409</v>
      </c>
      <c r="S59" s="58">
        <f t="shared" si="47"/>
        <v>0</v>
      </c>
      <c r="T59" s="58">
        <f t="shared" si="47"/>
        <v>874229</v>
      </c>
      <c r="U59" s="58">
        <f>SUM(U50:U58)</f>
        <v>19186842</v>
      </c>
      <c r="V59" s="58">
        <f t="shared" si="47"/>
        <v>89372854</v>
      </c>
      <c r="W59" s="58">
        <f t="shared" si="47"/>
        <v>-9702982</v>
      </c>
      <c r="X59" s="23">
        <f t="shared" si="37"/>
        <v>-1000000</v>
      </c>
      <c r="Y59" s="58">
        <f t="shared" si="47"/>
        <v>-1175649</v>
      </c>
      <c r="Z59" s="58">
        <f t="shared" si="47"/>
        <v>77494223</v>
      </c>
      <c r="AA59" s="47">
        <f t="shared" si="46"/>
        <v>100</v>
      </c>
    </row>
    <row r="60" spans="1:27" s="3" customFormat="1" ht="15" customHeight="1">
      <c r="A60" s="10" t="s">
        <v>47</v>
      </c>
      <c r="B60" s="18">
        <f>B32-B59</f>
        <v>-2456827</v>
      </c>
      <c r="C60" s="59">
        <f t="shared" ref="C60:K60" si="48">C32-C59</f>
        <v>1493325</v>
      </c>
      <c r="D60" s="59">
        <f t="shared" ref="D60:E60" si="49">D32-D59</f>
        <v>1000000</v>
      </c>
      <c r="E60" s="59">
        <f t="shared" si="49"/>
        <v>0</v>
      </c>
      <c r="F60" s="18">
        <f>F32-F59</f>
        <v>36498</v>
      </c>
      <c r="G60" s="18">
        <f t="shared" si="48"/>
        <v>-11302224</v>
      </c>
      <c r="H60" s="59">
        <f t="shared" si="48"/>
        <v>5914758</v>
      </c>
      <c r="I60" s="59">
        <f t="shared" ref="I60:J60" si="50">I32-I59</f>
        <v>0</v>
      </c>
      <c r="J60" s="59">
        <f t="shared" si="50"/>
        <v>2350353</v>
      </c>
      <c r="K60" s="18">
        <f t="shared" si="48"/>
        <v>-3037113</v>
      </c>
      <c r="L60" s="18">
        <f>L32-L59</f>
        <v>-899752</v>
      </c>
      <c r="M60" s="18">
        <f t="shared" ref="M60:Z60" si="51">M32-M59</f>
        <v>0</v>
      </c>
      <c r="N60" s="18">
        <f t="shared" ref="N60:O60" si="52">N32-N59</f>
        <v>0</v>
      </c>
      <c r="O60" s="18">
        <f t="shared" si="52"/>
        <v>0</v>
      </c>
      <c r="P60" s="18">
        <f t="shared" si="51"/>
        <v>-899752</v>
      </c>
      <c r="Q60" s="18">
        <f t="shared" si="51"/>
        <v>-1982402</v>
      </c>
      <c r="R60" s="18">
        <f t="shared" si="51"/>
        <v>0</v>
      </c>
      <c r="S60" s="18">
        <f t="shared" ref="S60:T60" si="53">S32-S59</f>
        <v>0</v>
      </c>
      <c r="T60" s="18">
        <f t="shared" si="53"/>
        <v>0</v>
      </c>
      <c r="U60" s="18">
        <f t="shared" si="51"/>
        <v>-1982402</v>
      </c>
      <c r="V60" s="18">
        <f t="shared" si="51"/>
        <v>-16641205</v>
      </c>
      <c r="W60" s="59">
        <f t="shared" si="51"/>
        <v>7408083</v>
      </c>
      <c r="X60" s="59">
        <f t="shared" ref="X60:Y60" si="54">X32-X59</f>
        <v>1000000</v>
      </c>
      <c r="Y60" s="59">
        <f t="shared" si="54"/>
        <v>2350353</v>
      </c>
      <c r="Z60" s="18">
        <f t="shared" si="51"/>
        <v>-5882769</v>
      </c>
      <c r="AA60" s="2"/>
    </row>
    <row r="61" spans="1:27" s="3" customFormat="1" ht="15" customHeight="1">
      <c r="A61" s="10" t="s">
        <v>46</v>
      </c>
      <c r="B61" s="18">
        <f>B62-B63+B64+B65-B66</f>
        <v>4011142</v>
      </c>
      <c r="C61" s="59">
        <f t="shared" ref="C61:K61" si="55">C62-C63+C64+C65-C66</f>
        <v>-1759818</v>
      </c>
      <c r="D61" s="59">
        <f t="shared" ref="D61:E61" si="56">D62-D63+D64+D65-D66</f>
        <v>-1000000</v>
      </c>
      <c r="E61" s="59">
        <f t="shared" si="56"/>
        <v>-43128</v>
      </c>
      <c r="F61" s="18">
        <f t="shared" si="55"/>
        <v>1208196</v>
      </c>
      <c r="G61" s="18">
        <f t="shared" si="55"/>
        <v>9747909</v>
      </c>
      <c r="H61" s="59">
        <f t="shared" si="55"/>
        <v>-5648265</v>
      </c>
      <c r="I61" s="59">
        <f t="shared" ref="I61:J61" si="57">I62-I63+I64+I65-I66</f>
        <v>0</v>
      </c>
      <c r="J61" s="59">
        <f t="shared" si="57"/>
        <v>-2307225</v>
      </c>
      <c r="K61" s="18">
        <f t="shared" si="55"/>
        <v>1792419</v>
      </c>
      <c r="L61" s="18">
        <f t="shared" ref="L61" si="58">L62-L63+L64+L65-L66</f>
        <v>899752</v>
      </c>
      <c r="M61" s="18">
        <f t="shared" ref="M61:Z61" si="59">M62-M63+M64+M65-M66</f>
        <v>0</v>
      </c>
      <c r="N61" s="18">
        <f t="shared" ref="N61:O61" si="60">N62-N63+N64+N65-N66</f>
        <v>0</v>
      </c>
      <c r="O61" s="18">
        <f t="shared" si="60"/>
        <v>0</v>
      </c>
      <c r="P61" s="18">
        <f t="shared" si="59"/>
        <v>899752</v>
      </c>
      <c r="Q61" s="18">
        <f t="shared" si="59"/>
        <v>1982402</v>
      </c>
      <c r="R61" s="18">
        <f t="shared" si="59"/>
        <v>0</v>
      </c>
      <c r="S61" s="18">
        <f t="shared" ref="S61:T61" si="61">S62-S63+S64+S65-S66</f>
        <v>0</v>
      </c>
      <c r="T61" s="18">
        <f t="shared" si="61"/>
        <v>0</v>
      </c>
      <c r="U61" s="18">
        <f t="shared" si="59"/>
        <v>1982402</v>
      </c>
      <c r="V61" s="18">
        <f t="shared" si="59"/>
        <v>16641205</v>
      </c>
      <c r="W61" s="59">
        <f t="shared" si="59"/>
        <v>-7408083</v>
      </c>
      <c r="X61" s="59">
        <f t="shared" ref="X61:Y61" si="62">X62-X63+X64+X65-X66</f>
        <v>-1000000</v>
      </c>
      <c r="Y61" s="59">
        <f t="shared" si="62"/>
        <v>-2350353</v>
      </c>
      <c r="Z61" s="18">
        <f t="shared" si="59"/>
        <v>5882769</v>
      </c>
      <c r="AA61" s="55"/>
    </row>
    <row r="62" spans="1:27" ht="15" customHeight="1">
      <c r="A62" s="22" t="s">
        <v>54</v>
      </c>
      <c r="B62" s="64">
        <v>2811692</v>
      </c>
      <c r="C62" s="64">
        <v>0</v>
      </c>
      <c r="D62" s="64">
        <v>0</v>
      </c>
      <c r="E62" s="64">
        <v>0</v>
      </c>
      <c r="F62" s="64">
        <f>SUM(B62:E62)</f>
        <v>2811692</v>
      </c>
      <c r="G62" s="64">
        <v>1510514</v>
      </c>
      <c r="H62" s="64">
        <v>0</v>
      </c>
      <c r="I62" s="64">
        <v>0</v>
      </c>
      <c r="J62" s="64">
        <v>0</v>
      </c>
      <c r="K62" s="64">
        <f>SUM(G62:J62)</f>
        <v>1510514</v>
      </c>
      <c r="L62" s="64">
        <v>1294820</v>
      </c>
      <c r="M62" s="64">
        <v>0</v>
      </c>
      <c r="N62" s="64">
        <v>0</v>
      </c>
      <c r="O62" s="64">
        <v>0</v>
      </c>
      <c r="P62" s="64">
        <f>SUM(L62:N62)</f>
        <v>1294820</v>
      </c>
      <c r="Q62" s="64">
        <v>1982402</v>
      </c>
      <c r="R62" s="64">
        <v>0</v>
      </c>
      <c r="S62" s="64">
        <v>0</v>
      </c>
      <c r="T62" s="64">
        <v>0</v>
      </c>
      <c r="U62" s="64">
        <f>SUM(Q62:T62)</f>
        <v>1982402</v>
      </c>
      <c r="V62" s="64">
        <f t="shared" ref="V62:X66" si="63">B62+G62+L62+Q62</f>
        <v>7599428</v>
      </c>
      <c r="W62" s="56">
        <f t="shared" si="63"/>
        <v>0</v>
      </c>
      <c r="X62" s="23">
        <f t="shared" si="63"/>
        <v>0</v>
      </c>
      <c r="Y62" s="23">
        <f t="shared" ref="Y62:Y67" si="64">E62+J62+O62+T62</f>
        <v>0</v>
      </c>
      <c r="Z62" s="64">
        <f>V62+W62+X62+Y62</f>
        <v>7599428</v>
      </c>
    </row>
    <row r="63" spans="1:27" ht="15" customHeight="1">
      <c r="A63" s="22" t="s">
        <v>55</v>
      </c>
      <c r="B63" s="64">
        <v>100000</v>
      </c>
      <c r="C63" s="64">
        <v>0</v>
      </c>
      <c r="D63" s="64">
        <v>0</v>
      </c>
      <c r="E63" s="64">
        <v>43128</v>
      </c>
      <c r="F63" s="64">
        <f t="shared" ref="F63:F67" si="65">SUM(B63:E63)</f>
        <v>143128</v>
      </c>
      <c r="G63" s="64">
        <v>57726</v>
      </c>
      <c r="H63" s="64">
        <v>241630</v>
      </c>
      <c r="I63" s="64">
        <v>0</v>
      </c>
      <c r="J63" s="64">
        <v>158134</v>
      </c>
      <c r="K63" s="64">
        <f t="shared" ref="K63:K67" si="66">SUM(G63:J63)</f>
        <v>457490</v>
      </c>
      <c r="L63" s="64">
        <v>395068</v>
      </c>
      <c r="M63" s="64">
        <v>0</v>
      </c>
      <c r="N63" s="64">
        <v>0</v>
      </c>
      <c r="O63" s="64">
        <v>0</v>
      </c>
      <c r="P63" s="64">
        <f t="shared" ref="P63:P67" si="67">SUM(L63:N63)</f>
        <v>395068</v>
      </c>
      <c r="Q63" s="64">
        <v>0</v>
      </c>
      <c r="R63" s="64">
        <v>0</v>
      </c>
      <c r="S63" s="64">
        <v>0</v>
      </c>
      <c r="T63" s="64">
        <v>0</v>
      </c>
      <c r="U63" s="64">
        <f t="shared" ref="U63:U67" si="68">SUM(Q63:T63)</f>
        <v>0</v>
      </c>
      <c r="V63" s="64">
        <f t="shared" si="63"/>
        <v>552794</v>
      </c>
      <c r="W63" s="56">
        <f t="shared" si="63"/>
        <v>241630</v>
      </c>
      <c r="X63" s="23">
        <f t="shared" si="63"/>
        <v>0</v>
      </c>
      <c r="Y63" s="23">
        <f t="shared" si="64"/>
        <v>201262</v>
      </c>
      <c r="Z63" s="64">
        <f t="shared" ref="Z63:Z66" si="69">V63+W63+X63+Y63</f>
        <v>995686</v>
      </c>
      <c r="AA63" s="4"/>
    </row>
    <row r="64" spans="1:27" ht="29.25" customHeight="1">
      <c r="A64" s="22" t="s">
        <v>65</v>
      </c>
      <c r="B64" s="64">
        <v>1800000</v>
      </c>
      <c r="C64" s="64">
        <f>-500000-290949-9051</f>
        <v>-800000</v>
      </c>
      <c r="D64" s="64">
        <v>-1000000</v>
      </c>
      <c r="E64" s="64">
        <v>0</v>
      </c>
      <c r="F64" s="64">
        <f t="shared" si="65"/>
        <v>0</v>
      </c>
      <c r="G64" s="64">
        <v>0</v>
      </c>
      <c r="H64" s="64">
        <v>0</v>
      </c>
      <c r="I64" s="64">
        <v>0</v>
      </c>
      <c r="J64" s="64">
        <v>0</v>
      </c>
      <c r="K64" s="64">
        <f t="shared" si="66"/>
        <v>0</v>
      </c>
      <c r="L64" s="64">
        <v>0</v>
      </c>
      <c r="M64" s="64">
        <v>0</v>
      </c>
      <c r="N64" s="64">
        <v>0</v>
      </c>
      <c r="O64" s="64">
        <v>0</v>
      </c>
      <c r="P64" s="64">
        <f t="shared" si="67"/>
        <v>0</v>
      </c>
      <c r="Q64" s="64">
        <v>0</v>
      </c>
      <c r="R64" s="64">
        <v>0</v>
      </c>
      <c r="S64" s="64">
        <v>0</v>
      </c>
      <c r="T64" s="64">
        <v>0</v>
      </c>
      <c r="U64" s="64">
        <f t="shared" si="68"/>
        <v>0</v>
      </c>
      <c r="V64" s="64">
        <f t="shared" si="63"/>
        <v>1800000</v>
      </c>
      <c r="W64" s="56">
        <f t="shared" si="63"/>
        <v>-800000</v>
      </c>
      <c r="X64" s="23">
        <f t="shared" si="63"/>
        <v>-1000000</v>
      </c>
      <c r="Y64" s="23">
        <f t="shared" si="64"/>
        <v>0</v>
      </c>
      <c r="Z64" s="64">
        <f t="shared" si="69"/>
        <v>0</v>
      </c>
    </row>
    <row r="65" spans="1:26" ht="15" customHeight="1">
      <c r="A65" s="22" t="s">
        <v>53</v>
      </c>
      <c r="B65" s="64">
        <f>379950+722500</f>
        <v>1102450</v>
      </c>
      <c r="C65" s="64">
        <v>-959818</v>
      </c>
      <c r="D65" s="64">
        <v>0</v>
      </c>
      <c r="E65" s="64">
        <v>0</v>
      </c>
      <c r="F65" s="64">
        <f t="shared" si="65"/>
        <v>142632</v>
      </c>
      <c r="G65" s="64">
        <v>8833040</v>
      </c>
      <c r="H65" s="64">
        <v>-5193684</v>
      </c>
      <c r="I65" s="64">
        <v>0</v>
      </c>
      <c r="J65" s="64">
        <v>-1926698</v>
      </c>
      <c r="K65" s="64">
        <f t="shared" si="66"/>
        <v>1712658</v>
      </c>
      <c r="L65" s="64">
        <v>0</v>
      </c>
      <c r="M65" s="64">
        <v>0</v>
      </c>
      <c r="N65" s="64">
        <v>0</v>
      </c>
      <c r="O65" s="64">
        <v>0</v>
      </c>
      <c r="P65" s="64">
        <f t="shared" si="67"/>
        <v>0</v>
      </c>
      <c r="Q65" s="64">
        <v>0</v>
      </c>
      <c r="R65" s="64">
        <v>0</v>
      </c>
      <c r="S65" s="64">
        <v>0</v>
      </c>
      <c r="T65" s="64">
        <v>0</v>
      </c>
      <c r="U65" s="64">
        <f t="shared" si="68"/>
        <v>0</v>
      </c>
      <c r="V65" s="64">
        <f t="shared" si="63"/>
        <v>9935490</v>
      </c>
      <c r="W65" s="56">
        <f t="shared" si="63"/>
        <v>-6153502</v>
      </c>
      <c r="X65" s="23">
        <f t="shared" si="63"/>
        <v>0</v>
      </c>
      <c r="Y65" s="23">
        <f t="shared" si="64"/>
        <v>-1926698</v>
      </c>
      <c r="Z65" s="64">
        <f t="shared" si="69"/>
        <v>1855290</v>
      </c>
    </row>
    <row r="66" spans="1:26" ht="15" customHeight="1">
      <c r="A66" s="22" t="s">
        <v>52</v>
      </c>
      <c r="B66" s="64">
        <v>1603000</v>
      </c>
      <c r="C66" s="64">
        <v>0</v>
      </c>
      <c r="D66" s="64">
        <v>0</v>
      </c>
      <c r="E66" s="64">
        <v>0</v>
      </c>
      <c r="F66" s="64">
        <f t="shared" si="65"/>
        <v>1603000</v>
      </c>
      <c r="G66" s="64">
        <v>537919</v>
      </c>
      <c r="H66" s="64">
        <f>181951+31000</f>
        <v>212951</v>
      </c>
      <c r="I66" s="64">
        <v>0</v>
      </c>
      <c r="J66" s="64">
        <v>222393</v>
      </c>
      <c r="K66" s="64">
        <f t="shared" si="66"/>
        <v>973263</v>
      </c>
      <c r="L66" s="64">
        <v>0</v>
      </c>
      <c r="M66" s="64">
        <v>0</v>
      </c>
      <c r="N66" s="64">
        <v>0</v>
      </c>
      <c r="O66" s="64">
        <v>0</v>
      </c>
      <c r="P66" s="64">
        <f t="shared" si="67"/>
        <v>0</v>
      </c>
      <c r="Q66" s="64">
        <v>0</v>
      </c>
      <c r="R66" s="64">
        <v>0</v>
      </c>
      <c r="S66" s="64">
        <v>0</v>
      </c>
      <c r="T66" s="64">
        <v>0</v>
      </c>
      <c r="U66" s="64">
        <f t="shared" si="68"/>
        <v>0</v>
      </c>
      <c r="V66" s="64">
        <f t="shared" si="63"/>
        <v>2140919</v>
      </c>
      <c r="W66" s="56">
        <f t="shared" si="63"/>
        <v>212951</v>
      </c>
      <c r="X66" s="23">
        <f t="shared" si="63"/>
        <v>0</v>
      </c>
      <c r="Y66" s="23">
        <f t="shared" si="64"/>
        <v>222393</v>
      </c>
      <c r="Z66" s="64">
        <f t="shared" si="69"/>
        <v>2576263</v>
      </c>
    </row>
    <row r="67" spans="1:26" s="20" customFormat="1" ht="25.5" customHeight="1">
      <c r="A67" s="19" t="s">
        <v>51</v>
      </c>
      <c r="B67" s="65">
        <f>B60+B61</f>
        <v>1554315</v>
      </c>
      <c r="C67" s="65">
        <f>C61+C60</f>
        <v>-266493</v>
      </c>
      <c r="D67" s="65">
        <f>D61+D60</f>
        <v>0</v>
      </c>
      <c r="E67" s="65">
        <f>E61+E60</f>
        <v>-43128</v>
      </c>
      <c r="F67" s="65">
        <f t="shared" si="65"/>
        <v>1244694</v>
      </c>
      <c r="G67" s="65">
        <f>G60+G61</f>
        <v>-1554315</v>
      </c>
      <c r="H67" s="65">
        <f>H61+H60</f>
        <v>266493</v>
      </c>
      <c r="I67" s="65">
        <f>I61+I60</f>
        <v>0</v>
      </c>
      <c r="J67" s="65">
        <f>J61+J60</f>
        <v>43128</v>
      </c>
      <c r="K67" s="64">
        <f t="shared" si="66"/>
        <v>-1244694</v>
      </c>
      <c r="L67" s="65">
        <v>0</v>
      </c>
      <c r="M67" s="65">
        <v>0</v>
      </c>
      <c r="N67" s="65">
        <v>0</v>
      </c>
      <c r="O67" s="65">
        <v>0</v>
      </c>
      <c r="P67" s="65">
        <f t="shared" si="67"/>
        <v>0</v>
      </c>
      <c r="Q67" s="65">
        <v>0</v>
      </c>
      <c r="R67" s="65">
        <v>0</v>
      </c>
      <c r="S67" s="65">
        <v>0</v>
      </c>
      <c r="T67" s="65">
        <v>0</v>
      </c>
      <c r="U67" s="65">
        <f t="shared" si="68"/>
        <v>0</v>
      </c>
      <c r="V67" s="65">
        <v>0</v>
      </c>
      <c r="W67" s="57">
        <f>C67+H67+M67+R67</f>
        <v>0</v>
      </c>
      <c r="X67" s="57">
        <f>D67+I67+N67+S67</f>
        <v>0</v>
      </c>
      <c r="Y67" s="57">
        <f t="shared" si="64"/>
        <v>0</v>
      </c>
      <c r="Z67" s="64">
        <f>V67+W67+X67+Y67</f>
        <v>0</v>
      </c>
    </row>
    <row r="68" spans="1:26" ht="15" customHeight="1">
      <c r="H68" s="4"/>
      <c r="I68" s="4"/>
      <c r="J68" s="4"/>
    </row>
    <row r="69" spans="1:26" ht="15" customHeight="1">
      <c r="F69" s="4"/>
      <c r="K69" s="4"/>
      <c r="M69" s="4"/>
      <c r="N69" s="4"/>
      <c r="O69" s="4"/>
    </row>
    <row r="70" spans="1:26" ht="15" customHeight="1">
      <c r="K70" s="4"/>
    </row>
    <row r="71" spans="1:26" ht="15" customHeight="1">
      <c r="H71" s="55"/>
      <c r="I71" s="55"/>
      <c r="J71" s="55"/>
      <c r="L71" s="4"/>
    </row>
  </sheetData>
  <mergeCells count="9">
    <mergeCell ref="A33:AA33"/>
    <mergeCell ref="A34:AA34"/>
    <mergeCell ref="A49:AA49"/>
    <mergeCell ref="A6:A7"/>
    <mergeCell ref="Q6:U6"/>
    <mergeCell ref="B6:P6"/>
    <mergeCell ref="V6:Z6"/>
    <mergeCell ref="AA6:AA7"/>
    <mergeCell ref="A8:AA8"/>
  </mergeCells>
  <pageMargins left="0.59055118110236227" right="0.39370078740157483" top="0.39370078740157483" bottom="0.39370078740157483" header="0.19685039370078741" footer="0.19685039370078741"/>
  <pageSetup paperSize="8" scale="51" firstPageNumber="0" fitToHeight="0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197"/>
  <sheetViews>
    <sheetView showOutlineSymbols="0" topLeftCell="A2" workbookViewId="0">
      <pane ySplit="6" topLeftCell="A8" activePane="bottomLeft" state="frozen"/>
      <selection activeCell="A2" sqref="A2"/>
      <selection pane="bottomLeft" activeCell="B27" sqref="B27:B30"/>
    </sheetView>
  </sheetViews>
  <sheetFormatPr defaultColWidth="14.1640625" defaultRowHeight="15" customHeight="1"/>
  <cols>
    <col min="1" max="1" width="12" style="2" customWidth="1"/>
    <col min="2" max="2" width="29.83203125" style="2" customWidth="1"/>
    <col min="3" max="3" width="42.33203125" style="2" customWidth="1"/>
    <col min="4" max="7" width="13.83203125" style="2" customWidth="1"/>
    <col min="8" max="8" width="13.83203125" style="3" customWidth="1"/>
    <col min="9" max="9" width="11.83203125" style="2" customWidth="1"/>
    <col min="10" max="16384" width="14.1640625" style="2"/>
  </cols>
  <sheetData>
    <row r="1" spans="1:9" ht="15" customHeight="1">
      <c r="H1" s="11" t="s">
        <v>49</v>
      </c>
    </row>
    <row r="2" spans="1:9" ht="15" customHeight="1">
      <c r="H2" s="12"/>
      <c r="I2" s="11" t="s">
        <v>49</v>
      </c>
    </row>
    <row r="3" spans="1:9" ht="15" customHeight="1">
      <c r="H3" s="12"/>
      <c r="I3" s="12" t="s">
        <v>154</v>
      </c>
    </row>
    <row r="4" spans="1:9" ht="15" customHeight="1">
      <c r="I4" s="12" t="s">
        <v>50</v>
      </c>
    </row>
    <row r="5" spans="1:9" ht="15" customHeight="1">
      <c r="A5" s="13" t="s">
        <v>66</v>
      </c>
      <c r="B5" s="13"/>
      <c r="C5" s="13"/>
    </row>
    <row r="6" spans="1:9" s="1" customFormat="1" ht="15.75" customHeight="1">
      <c r="A6" s="104" t="s">
        <v>48</v>
      </c>
      <c r="B6" s="105"/>
      <c r="C6" s="106"/>
      <c r="D6" s="85" t="s">
        <v>57</v>
      </c>
      <c r="E6" s="85"/>
      <c r="F6" s="85"/>
      <c r="G6" s="85" t="s">
        <v>58</v>
      </c>
      <c r="H6" s="85" t="s">
        <v>56</v>
      </c>
      <c r="I6" s="85" t="s">
        <v>150</v>
      </c>
    </row>
    <row r="7" spans="1:9" s="1" customFormat="1" ht="51.75" customHeight="1">
      <c r="A7" s="107"/>
      <c r="B7" s="108"/>
      <c r="C7" s="109"/>
      <c r="D7" s="21" t="s">
        <v>59</v>
      </c>
      <c r="E7" s="21" t="s">
        <v>61</v>
      </c>
      <c r="F7" s="21" t="s">
        <v>60</v>
      </c>
      <c r="G7" s="85"/>
      <c r="H7" s="85"/>
      <c r="I7" s="85"/>
    </row>
    <row r="8" spans="1:9" s="3" customFormat="1" ht="15.75" customHeight="1">
      <c r="A8" s="101" t="s">
        <v>36</v>
      </c>
      <c r="B8" s="102"/>
      <c r="C8" s="102"/>
      <c r="D8" s="102"/>
      <c r="E8" s="102"/>
      <c r="F8" s="102"/>
      <c r="G8" s="102"/>
      <c r="H8" s="102"/>
      <c r="I8" s="102"/>
    </row>
    <row r="9" spans="1:9" s="3" customFormat="1" ht="9.75" customHeight="1">
      <c r="A9" s="27"/>
      <c r="B9" s="27"/>
      <c r="C9" s="27"/>
      <c r="D9" s="27"/>
      <c r="E9" s="27"/>
      <c r="F9" s="27"/>
      <c r="G9" s="27"/>
      <c r="H9" s="27"/>
    </row>
    <row r="10" spans="1:9" ht="15" customHeight="1">
      <c r="A10" s="103" t="s">
        <v>37</v>
      </c>
      <c r="B10" s="103"/>
      <c r="C10" s="103"/>
      <c r="D10" s="34">
        <v>4462908</v>
      </c>
      <c r="E10" s="34">
        <v>0</v>
      </c>
      <c r="F10" s="34">
        <v>0</v>
      </c>
      <c r="G10" s="34">
        <v>23679</v>
      </c>
      <c r="H10" s="34">
        <f>D10+E10+F10+G10</f>
        <v>4486587</v>
      </c>
      <c r="I10" s="33">
        <f>H10*100/$H$19</f>
        <v>5.060991634618853</v>
      </c>
    </row>
    <row r="11" spans="1:9" ht="15" customHeight="1">
      <c r="A11" s="95" t="s">
        <v>38</v>
      </c>
      <c r="B11" s="96"/>
      <c r="C11" s="97"/>
      <c r="D11" s="34">
        <v>772689</v>
      </c>
      <c r="E11" s="34">
        <v>0</v>
      </c>
      <c r="F11" s="34">
        <v>0</v>
      </c>
      <c r="G11" s="34">
        <v>0</v>
      </c>
      <c r="H11" s="34">
        <f t="shared" ref="H11:H18" si="0">D11+E11+F11+G11</f>
        <v>772689</v>
      </c>
      <c r="I11" s="33">
        <f t="shared" ref="I11:I19" si="1">H11*100/$H$19</f>
        <v>0.87161411673550682</v>
      </c>
    </row>
    <row r="12" spans="1:9" ht="15" customHeight="1">
      <c r="A12" s="95" t="s">
        <v>39</v>
      </c>
      <c r="B12" s="96"/>
      <c r="C12" s="97"/>
      <c r="D12" s="34">
        <v>4297706</v>
      </c>
      <c r="E12" s="34">
        <v>10392834</v>
      </c>
      <c r="F12" s="34">
        <v>0</v>
      </c>
      <c r="G12" s="34">
        <v>1658906</v>
      </c>
      <c r="H12" s="34">
        <f t="shared" si="0"/>
        <v>16349446</v>
      </c>
      <c r="I12" s="33">
        <f t="shared" si="1"/>
        <v>18.442617837713314</v>
      </c>
    </row>
    <row r="13" spans="1:9" ht="15" customHeight="1">
      <c r="A13" s="95" t="s">
        <v>40</v>
      </c>
      <c r="B13" s="96"/>
      <c r="C13" s="97"/>
      <c r="D13" s="34">
        <v>195289</v>
      </c>
      <c r="E13" s="34">
        <v>317660</v>
      </c>
      <c r="F13" s="34">
        <v>1780800</v>
      </c>
      <c r="G13" s="34">
        <v>0</v>
      </c>
      <c r="H13" s="34">
        <f t="shared" si="0"/>
        <v>2293749</v>
      </c>
      <c r="I13" s="33">
        <f t="shared" si="1"/>
        <v>2.5874109876650917</v>
      </c>
    </row>
    <row r="14" spans="1:9" ht="15" customHeight="1">
      <c r="A14" s="95" t="s">
        <v>41</v>
      </c>
      <c r="B14" s="96"/>
      <c r="C14" s="97"/>
      <c r="D14" s="34">
        <v>6991198</v>
      </c>
      <c r="E14" s="34">
        <v>624031</v>
      </c>
      <c r="F14" s="34">
        <v>0</v>
      </c>
      <c r="G14" s="34">
        <v>0</v>
      </c>
      <c r="H14" s="34">
        <f t="shared" si="0"/>
        <v>7615229</v>
      </c>
      <c r="I14" s="33">
        <f t="shared" si="1"/>
        <v>8.5901845355293229</v>
      </c>
    </row>
    <row r="15" spans="1:9" ht="15" customHeight="1">
      <c r="A15" s="95" t="s">
        <v>42</v>
      </c>
      <c r="B15" s="96"/>
      <c r="C15" s="97"/>
      <c r="D15" s="34">
        <v>59000</v>
      </c>
      <c r="E15" s="34">
        <v>0</v>
      </c>
      <c r="F15" s="34">
        <v>0</v>
      </c>
      <c r="G15" s="34">
        <v>0</v>
      </c>
      <c r="H15" s="34">
        <f t="shared" si="0"/>
        <v>59000</v>
      </c>
      <c r="I15" s="33">
        <f t="shared" si="1"/>
        <v>6.6553597744234611E-2</v>
      </c>
    </row>
    <row r="16" spans="1:9" ht="15" customHeight="1">
      <c r="A16" s="95" t="s">
        <v>43</v>
      </c>
      <c r="B16" s="96"/>
      <c r="C16" s="97"/>
      <c r="D16" s="34">
        <v>4141307</v>
      </c>
      <c r="E16" s="34">
        <v>574703</v>
      </c>
      <c r="F16" s="34">
        <v>0</v>
      </c>
      <c r="G16" s="34">
        <v>60012</v>
      </c>
      <c r="H16" s="34">
        <f t="shared" si="0"/>
        <v>4776022</v>
      </c>
      <c r="I16" s="33">
        <f t="shared" si="1"/>
        <v>5.3874821526375403</v>
      </c>
    </row>
    <row r="17" spans="1:9" ht="15" customHeight="1">
      <c r="A17" s="95" t="s">
        <v>44</v>
      </c>
      <c r="B17" s="96"/>
      <c r="C17" s="97"/>
      <c r="D17" s="34">
        <v>19438505</v>
      </c>
      <c r="E17" s="34">
        <v>5511960</v>
      </c>
      <c r="F17" s="34">
        <v>0</v>
      </c>
      <c r="G17" s="34">
        <v>15694959</v>
      </c>
      <c r="H17" s="34">
        <f t="shared" si="0"/>
        <v>40645424</v>
      </c>
      <c r="I17" s="33">
        <f t="shared" si="1"/>
        <v>45.849138966777282</v>
      </c>
    </row>
    <row r="18" spans="1:9" ht="15" customHeight="1">
      <c r="A18" s="95" t="s">
        <v>45</v>
      </c>
      <c r="B18" s="96"/>
      <c r="C18" s="97"/>
      <c r="D18" s="34">
        <v>10342852</v>
      </c>
      <c r="E18" s="34">
        <v>518708</v>
      </c>
      <c r="F18" s="34">
        <v>0</v>
      </c>
      <c r="G18" s="34">
        <v>790648</v>
      </c>
      <c r="H18" s="34">
        <f t="shared" si="0"/>
        <v>11652208</v>
      </c>
      <c r="I18" s="33">
        <f t="shared" si="1"/>
        <v>13.144006170578857</v>
      </c>
    </row>
    <row r="19" spans="1:9" s="3" customFormat="1" ht="15" customHeight="1">
      <c r="A19" s="98" t="s">
        <v>32</v>
      </c>
      <c r="B19" s="99"/>
      <c r="C19" s="100"/>
      <c r="D19" s="35">
        <f>SUM(D10:D18)</f>
        <v>50701454</v>
      </c>
      <c r="E19" s="35">
        <f>SUM(E10:E18)</f>
        <v>17939896</v>
      </c>
      <c r="F19" s="35">
        <f>SUM(F10:F18)</f>
        <v>1780800</v>
      </c>
      <c r="G19" s="35">
        <f>SUM(G10:G18)</f>
        <v>18228204</v>
      </c>
      <c r="H19" s="35">
        <f>SUM(H10:H18)</f>
        <v>88650354</v>
      </c>
      <c r="I19" s="28">
        <f t="shared" si="1"/>
        <v>100</v>
      </c>
    </row>
    <row r="20" spans="1:9" ht="15.75" customHeight="1">
      <c r="A20" s="94" t="s">
        <v>149</v>
      </c>
      <c r="B20" s="94"/>
      <c r="C20" s="94"/>
      <c r="D20" s="94"/>
      <c r="E20" s="94"/>
      <c r="F20" s="94"/>
      <c r="G20" s="94"/>
      <c r="H20" s="94"/>
    </row>
    <row r="21" spans="1:9" ht="15" customHeight="1">
      <c r="A21" s="89" t="s">
        <v>37</v>
      </c>
      <c r="B21" s="89" t="s">
        <v>67</v>
      </c>
      <c r="C21" s="25" t="s">
        <v>15</v>
      </c>
      <c r="D21" s="38">
        <v>1741894</v>
      </c>
      <c r="E21" s="38">
        <v>0</v>
      </c>
      <c r="F21" s="38">
        <v>0</v>
      </c>
      <c r="G21" s="38">
        <v>0</v>
      </c>
      <c r="H21" s="39">
        <v>1741894</v>
      </c>
      <c r="I21" s="32">
        <f>H21*100/$H$194</f>
        <v>1.9490191059580575</v>
      </c>
    </row>
    <row r="22" spans="1:9" ht="15" customHeight="1">
      <c r="A22" s="89"/>
      <c r="B22" s="89"/>
      <c r="C22" s="25" t="s">
        <v>16</v>
      </c>
      <c r="D22" s="38">
        <v>150862</v>
      </c>
      <c r="E22" s="38">
        <v>0</v>
      </c>
      <c r="F22" s="38">
        <v>0</v>
      </c>
      <c r="G22" s="38">
        <v>0</v>
      </c>
      <c r="H22" s="39">
        <v>150862</v>
      </c>
      <c r="I22" s="32">
        <f t="shared" ref="I22:I85" si="2">H22*100/$H$194</f>
        <v>0.16880069646203757</v>
      </c>
    </row>
    <row r="23" spans="1:9" ht="15" customHeight="1">
      <c r="A23" s="89"/>
      <c r="B23" s="89"/>
      <c r="C23" s="25" t="s">
        <v>19</v>
      </c>
      <c r="D23" s="38">
        <v>7700</v>
      </c>
      <c r="E23" s="38">
        <v>0</v>
      </c>
      <c r="F23" s="38">
        <v>0</v>
      </c>
      <c r="G23" s="38">
        <v>0</v>
      </c>
      <c r="H23" s="39">
        <v>7700</v>
      </c>
      <c r="I23" s="32">
        <f t="shared" si="2"/>
        <v>8.6155914859785045E-3</v>
      </c>
    </row>
    <row r="24" spans="1:9" ht="31.5" customHeight="1">
      <c r="A24" s="89"/>
      <c r="B24" s="89"/>
      <c r="C24" s="25" t="s">
        <v>20</v>
      </c>
      <c r="D24" s="38">
        <v>49950</v>
      </c>
      <c r="E24" s="38">
        <v>0</v>
      </c>
      <c r="F24" s="38">
        <v>0</v>
      </c>
      <c r="G24" s="38">
        <v>0</v>
      </c>
      <c r="H24" s="39">
        <v>49950</v>
      </c>
      <c r="I24" s="32">
        <f t="shared" si="2"/>
        <v>5.5889453860341082E-2</v>
      </c>
    </row>
    <row r="25" spans="1:9" ht="30" customHeight="1">
      <c r="A25" s="89"/>
      <c r="B25" s="89"/>
      <c r="C25" s="25" t="s">
        <v>21</v>
      </c>
      <c r="D25" s="38">
        <v>96905</v>
      </c>
      <c r="E25" s="38">
        <v>0</v>
      </c>
      <c r="F25" s="38">
        <v>0</v>
      </c>
      <c r="G25" s="38">
        <v>0</v>
      </c>
      <c r="H25" s="39">
        <v>96905</v>
      </c>
      <c r="I25" s="32">
        <f t="shared" si="2"/>
        <v>0.10842777830503209</v>
      </c>
    </row>
    <row r="26" spans="1:9" ht="24.75" customHeight="1">
      <c r="A26" s="89"/>
      <c r="B26" s="89" t="s">
        <v>68</v>
      </c>
      <c r="C26" s="89"/>
      <c r="D26" s="38">
        <v>2047311</v>
      </c>
      <c r="E26" s="38">
        <v>0</v>
      </c>
      <c r="F26" s="38">
        <v>0</v>
      </c>
      <c r="G26" s="38">
        <v>0</v>
      </c>
      <c r="H26" s="39">
        <v>2047311</v>
      </c>
      <c r="I26" s="32">
        <f t="shared" si="2"/>
        <v>2.2907526260714466</v>
      </c>
    </row>
    <row r="27" spans="1:9" ht="15" customHeight="1">
      <c r="A27" s="89"/>
      <c r="B27" s="89" t="s">
        <v>69</v>
      </c>
      <c r="C27" s="25" t="s">
        <v>15</v>
      </c>
      <c r="D27" s="38">
        <v>1000957</v>
      </c>
      <c r="E27" s="38">
        <v>0</v>
      </c>
      <c r="F27" s="38">
        <v>0</v>
      </c>
      <c r="G27" s="38">
        <v>23588</v>
      </c>
      <c r="H27" s="39">
        <v>1024545</v>
      </c>
      <c r="I27" s="32">
        <f t="shared" si="2"/>
        <v>1.1463715816885516</v>
      </c>
    </row>
    <row r="28" spans="1:9" ht="15" customHeight="1">
      <c r="A28" s="89"/>
      <c r="B28" s="89"/>
      <c r="C28" s="25" t="s">
        <v>16</v>
      </c>
      <c r="D28" s="38">
        <v>15900</v>
      </c>
      <c r="E28" s="38">
        <v>0</v>
      </c>
      <c r="F28" s="38">
        <v>0</v>
      </c>
      <c r="G28" s="38">
        <v>0</v>
      </c>
      <c r="H28" s="39">
        <v>15900</v>
      </c>
      <c r="I28" s="32">
        <f t="shared" si="2"/>
        <v>1.7790636964553016E-2</v>
      </c>
    </row>
    <row r="29" spans="1:9" ht="15" customHeight="1">
      <c r="A29" s="89"/>
      <c r="B29" s="89"/>
      <c r="C29" s="25" t="s">
        <v>19</v>
      </c>
      <c r="D29" s="38">
        <v>0</v>
      </c>
      <c r="E29" s="38">
        <v>0</v>
      </c>
      <c r="F29" s="38">
        <v>0</v>
      </c>
      <c r="G29" s="38">
        <v>0</v>
      </c>
      <c r="H29" s="39">
        <v>0</v>
      </c>
      <c r="I29" s="32">
        <f t="shared" si="2"/>
        <v>0</v>
      </c>
    </row>
    <row r="30" spans="1:9" ht="27.75" customHeight="1">
      <c r="A30" s="89"/>
      <c r="B30" s="89"/>
      <c r="C30" s="25" t="s">
        <v>21</v>
      </c>
      <c r="D30" s="38">
        <v>0</v>
      </c>
      <c r="E30" s="38">
        <v>0</v>
      </c>
      <c r="F30" s="38">
        <v>0</v>
      </c>
      <c r="G30" s="38">
        <v>91</v>
      </c>
      <c r="H30" s="39">
        <v>91</v>
      </c>
      <c r="I30" s="32">
        <f t="shared" si="2"/>
        <v>1.0182062665247325E-4</v>
      </c>
    </row>
    <row r="31" spans="1:9" ht="15" customHeight="1">
      <c r="A31" s="89"/>
      <c r="B31" s="89" t="s">
        <v>70</v>
      </c>
      <c r="C31" s="89"/>
      <c r="D31" s="38">
        <v>1016857</v>
      </c>
      <c r="E31" s="38">
        <v>0</v>
      </c>
      <c r="F31" s="38">
        <v>0</v>
      </c>
      <c r="G31" s="38">
        <v>23679</v>
      </c>
      <c r="H31" s="39">
        <v>1040536</v>
      </c>
      <c r="I31" s="32">
        <f t="shared" si="2"/>
        <v>1.1642640392797572</v>
      </c>
    </row>
    <row r="32" spans="1:9" ht="15" customHeight="1">
      <c r="A32" s="89"/>
      <c r="B32" s="89" t="s">
        <v>71</v>
      </c>
      <c r="C32" s="25" t="s">
        <v>15</v>
      </c>
      <c r="D32" s="38">
        <v>121587</v>
      </c>
      <c r="E32" s="38">
        <v>0</v>
      </c>
      <c r="F32" s="38">
        <v>0</v>
      </c>
      <c r="G32" s="38">
        <v>0</v>
      </c>
      <c r="H32" s="39">
        <v>121587</v>
      </c>
      <c r="I32" s="32">
        <f t="shared" si="2"/>
        <v>0.13604466519554137</v>
      </c>
    </row>
    <row r="33" spans="1:9" ht="15" customHeight="1">
      <c r="A33" s="89"/>
      <c r="B33" s="89"/>
      <c r="C33" s="25" t="s">
        <v>16</v>
      </c>
      <c r="D33" s="38">
        <v>9033</v>
      </c>
      <c r="E33" s="38">
        <v>0</v>
      </c>
      <c r="F33" s="38">
        <v>0</v>
      </c>
      <c r="G33" s="38">
        <v>0</v>
      </c>
      <c r="H33" s="39">
        <v>9033</v>
      </c>
      <c r="I33" s="32">
        <f t="shared" si="2"/>
        <v>1.0107095830239459E-2</v>
      </c>
    </row>
    <row r="34" spans="1:9" ht="15" customHeight="1">
      <c r="A34" s="89"/>
      <c r="B34" s="89" t="s">
        <v>72</v>
      </c>
      <c r="C34" s="89"/>
      <c r="D34" s="38">
        <v>130620</v>
      </c>
      <c r="E34" s="38">
        <v>0</v>
      </c>
      <c r="F34" s="38">
        <v>0</v>
      </c>
      <c r="G34" s="38">
        <v>0</v>
      </c>
      <c r="H34" s="39">
        <v>130620</v>
      </c>
      <c r="I34" s="32">
        <f t="shared" si="2"/>
        <v>0.14615176102578081</v>
      </c>
    </row>
    <row r="35" spans="1:9" ht="15" customHeight="1">
      <c r="A35" s="89"/>
      <c r="B35" s="89" t="s">
        <v>73</v>
      </c>
      <c r="C35" s="25" t="s">
        <v>16</v>
      </c>
      <c r="D35" s="38">
        <v>35000</v>
      </c>
      <c r="E35" s="38">
        <v>0</v>
      </c>
      <c r="F35" s="38">
        <v>0</v>
      </c>
      <c r="G35" s="38">
        <v>0</v>
      </c>
      <c r="H35" s="39">
        <v>35000</v>
      </c>
      <c r="I35" s="32">
        <f t="shared" si="2"/>
        <v>3.9161779481720477E-2</v>
      </c>
    </row>
    <row r="36" spans="1:9" ht="24.75" customHeight="1">
      <c r="A36" s="89"/>
      <c r="B36" s="89"/>
      <c r="C36" s="25" t="s">
        <v>18</v>
      </c>
      <c r="D36" s="38">
        <v>1233120</v>
      </c>
      <c r="E36" s="38">
        <v>0</v>
      </c>
      <c r="F36" s="38">
        <v>0</v>
      </c>
      <c r="G36" s="38">
        <v>0</v>
      </c>
      <c r="H36" s="39">
        <v>1233120</v>
      </c>
      <c r="I36" s="32">
        <f t="shared" si="2"/>
        <v>1.379747814699976</v>
      </c>
    </row>
    <row r="37" spans="1:9" ht="25.5" customHeight="1">
      <c r="A37" s="89"/>
      <c r="B37" s="89" t="s">
        <v>74</v>
      </c>
      <c r="C37" s="89"/>
      <c r="D37" s="38">
        <v>1268120</v>
      </c>
      <c r="E37" s="38">
        <v>0</v>
      </c>
      <c r="F37" s="38">
        <v>0</v>
      </c>
      <c r="G37" s="38">
        <v>0</v>
      </c>
      <c r="H37" s="39">
        <v>1268120</v>
      </c>
      <c r="I37" s="32">
        <f t="shared" si="2"/>
        <v>1.4189095941816965</v>
      </c>
    </row>
    <row r="38" spans="1:9" s="3" customFormat="1" ht="15" customHeight="1">
      <c r="A38" s="90" t="s">
        <v>75</v>
      </c>
      <c r="B38" s="90"/>
      <c r="C38" s="90"/>
      <c r="D38" s="40">
        <v>4462908</v>
      </c>
      <c r="E38" s="40">
        <v>0</v>
      </c>
      <c r="F38" s="40">
        <v>0</v>
      </c>
      <c r="G38" s="40">
        <v>23679</v>
      </c>
      <c r="H38" s="41">
        <v>4486587</v>
      </c>
      <c r="I38" s="30">
        <f t="shared" si="2"/>
        <v>5.0200780205586808</v>
      </c>
    </row>
    <row r="39" spans="1:9" ht="15" customHeight="1">
      <c r="A39" s="89" t="s">
        <v>38</v>
      </c>
      <c r="B39" s="89" t="s">
        <v>76</v>
      </c>
      <c r="C39" s="25" t="s">
        <v>15</v>
      </c>
      <c r="D39" s="38">
        <v>510857</v>
      </c>
      <c r="E39" s="38">
        <v>0</v>
      </c>
      <c r="F39" s="38">
        <v>0</v>
      </c>
      <c r="G39" s="38">
        <v>0</v>
      </c>
      <c r="H39" s="39">
        <v>510857</v>
      </c>
      <c r="I39" s="32">
        <f t="shared" si="2"/>
        <v>0.57160197659123657</v>
      </c>
    </row>
    <row r="40" spans="1:9" ht="15" customHeight="1">
      <c r="A40" s="89"/>
      <c r="B40" s="89"/>
      <c r="C40" s="25" t="s">
        <v>16</v>
      </c>
      <c r="D40" s="38">
        <v>125296</v>
      </c>
      <c r="E40" s="38">
        <v>0</v>
      </c>
      <c r="F40" s="38">
        <v>0</v>
      </c>
      <c r="G40" s="38">
        <v>0</v>
      </c>
      <c r="H40" s="39">
        <v>125296</v>
      </c>
      <c r="I40" s="32">
        <f t="shared" si="2"/>
        <v>0.14019469491261854</v>
      </c>
    </row>
    <row r="41" spans="1:9" ht="15" customHeight="1">
      <c r="A41" s="89"/>
      <c r="B41" s="89"/>
      <c r="C41" s="25" t="s">
        <v>19</v>
      </c>
      <c r="D41" s="38">
        <v>1000</v>
      </c>
      <c r="E41" s="38">
        <v>0</v>
      </c>
      <c r="F41" s="38">
        <v>0</v>
      </c>
      <c r="G41" s="38">
        <v>0</v>
      </c>
      <c r="H41" s="39">
        <v>1000</v>
      </c>
      <c r="I41" s="32">
        <f t="shared" si="2"/>
        <v>1.1189079851920136E-3</v>
      </c>
    </row>
    <row r="42" spans="1:9" ht="15" customHeight="1">
      <c r="A42" s="89"/>
      <c r="B42" s="89" t="s">
        <v>77</v>
      </c>
      <c r="C42" s="89"/>
      <c r="D42" s="38">
        <v>637153</v>
      </c>
      <c r="E42" s="38">
        <v>0</v>
      </c>
      <c r="F42" s="38">
        <v>0</v>
      </c>
      <c r="G42" s="38">
        <v>0</v>
      </c>
      <c r="H42" s="39">
        <v>637153</v>
      </c>
      <c r="I42" s="32">
        <f t="shared" si="2"/>
        <v>0.71291557948904705</v>
      </c>
    </row>
    <row r="43" spans="1:9" ht="15" customHeight="1">
      <c r="A43" s="89"/>
      <c r="B43" s="89" t="s">
        <v>78</v>
      </c>
      <c r="C43" s="25" t="s">
        <v>16</v>
      </c>
      <c r="D43" s="38">
        <v>6460</v>
      </c>
      <c r="E43" s="38">
        <v>0</v>
      </c>
      <c r="F43" s="38">
        <v>0</v>
      </c>
      <c r="G43" s="38">
        <v>0</v>
      </c>
      <c r="H43" s="39">
        <v>6460</v>
      </c>
      <c r="I43" s="32">
        <f t="shared" si="2"/>
        <v>7.2281455843404086E-3</v>
      </c>
    </row>
    <row r="44" spans="1:9" ht="15" customHeight="1">
      <c r="A44" s="89"/>
      <c r="B44" s="89"/>
      <c r="C44" s="25" t="s">
        <v>19</v>
      </c>
      <c r="D44" s="38">
        <v>113576</v>
      </c>
      <c r="E44" s="38">
        <v>0</v>
      </c>
      <c r="F44" s="38">
        <v>0</v>
      </c>
      <c r="G44" s="38">
        <v>0</v>
      </c>
      <c r="H44" s="39">
        <v>113576</v>
      </c>
      <c r="I44" s="32">
        <f t="shared" si="2"/>
        <v>0.12708109332616815</v>
      </c>
    </row>
    <row r="45" spans="1:9" ht="27" customHeight="1">
      <c r="A45" s="89"/>
      <c r="B45" s="89"/>
      <c r="C45" s="25" t="s">
        <v>21</v>
      </c>
      <c r="D45" s="38">
        <v>15500</v>
      </c>
      <c r="E45" s="38">
        <v>0</v>
      </c>
      <c r="F45" s="38">
        <v>0</v>
      </c>
      <c r="G45" s="38">
        <v>0</v>
      </c>
      <c r="H45" s="39">
        <v>15500</v>
      </c>
      <c r="I45" s="32">
        <f t="shared" si="2"/>
        <v>1.7343073770476211E-2</v>
      </c>
    </row>
    <row r="46" spans="1:9" ht="24" customHeight="1">
      <c r="A46" s="89"/>
      <c r="B46" s="89" t="s">
        <v>79</v>
      </c>
      <c r="C46" s="89"/>
      <c r="D46" s="38">
        <v>135536</v>
      </c>
      <c r="E46" s="38">
        <v>0</v>
      </c>
      <c r="F46" s="38">
        <v>0</v>
      </c>
      <c r="G46" s="38">
        <v>0</v>
      </c>
      <c r="H46" s="39">
        <v>135536</v>
      </c>
      <c r="I46" s="32">
        <f t="shared" si="2"/>
        <v>0.15165231268098475</v>
      </c>
    </row>
    <row r="47" spans="1:9" s="3" customFormat="1" ht="15" customHeight="1">
      <c r="A47" s="90" t="s">
        <v>80</v>
      </c>
      <c r="B47" s="90"/>
      <c r="C47" s="90"/>
      <c r="D47" s="40">
        <v>772689</v>
      </c>
      <c r="E47" s="40">
        <v>0</v>
      </c>
      <c r="F47" s="40">
        <v>0</v>
      </c>
      <c r="G47" s="40">
        <v>0</v>
      </c>
      <c r="H47" s="41">
        <v>772689</v>
      </c>
      <c r="I47" s="30">
        <f t="shared" si="2"/>
        <v>0.86456789217003183</v>
      </c>
    </row>
    <row r="48" spans="1:9" ht="15" customHeight="1">
      <c r="A48" s="89" t="s">
        <v>39</v>
      </c>
      <c r="B48" s="89" t="s">
        <v>81</v>
      </c>
      <c r="C48" s="25" t="s">
        <v>15</v>
      </c>
      <c r="D48" s="38">
        <v>432270</v>
      </c>
      <c r="E48" s="38">
        <v>0</v>
      </c>
      <c r="F48" s="38">
        <v>0</v>
      </c>
      <c r="G48" s="38">
        <v>0</v>
      </c>
      <c r="H48" s="39">
        <v>432270</v>
      </c>
      <c r="I48" s="32">
        <f t="shared" si="2"/>
        <v>0.48367035475895176</v>
      </c>
    </row>
    <row r="49" spans="1:9" ht="15" customHeight="1">
      <c r="A49" s="89"/>
      <c r="B49" s="89"/>
      <c r="C49" s="25" t="s">
        <v>16</v>
      </c>
      <c r="D49" s="38">
        <v>196569</v>
      </c>
      <c r="E49" s="38">
        <v>0</v>
      </c>
      <c r="F49" s="38">
        <v>0</v>
      </c>
      <c r="G49" s="38">
        <v>0</v>
      </c>
      <c r="H49" s="39">
        <v>196569</v>
      </c>
      <c r="I49" s="32">
        <f t="shared" si="2"/>
        <v>0.21994262374120893</v>
      </c>
    </row>
    <row r="50" spans="1:9" ht="15" customHeight="1">
      <c r="A50" s="89"/>
      <c r="B50" s="89"/>
      <c r="C50" s="25" t="s">
        <v>17</v>
      </c>
      <c r="D50" s="38">
        <v>24000</v>
      </c>
      <c r="E50" s="38">
        <v>0</v>
      </c>
      <c r="F50" s="38">
        <v>0</v>
      </c>
      <c r="G50" s="38">
        <v>0</v>
      </c>
      <c r="H50" s="39">
        <v>24000</v>
      </c>
      <c r="I50" s="32">
        <f t="shared" si="2"/>
        <v>2.6853791644608327E-2</v>
      </c>
    </row>
    <row r="51" spans="1:9" ht="15" customHeight="1">
      <c r="A51" s="89"/>
      <c r="B51" s="89"/>
      <c r="C51" s="25" t="s">
        <v>19</v>
      </c>
      <c r="D51" s="38">
        <v>0</v>
      </c>
      <c r="E51" s="38">
        <v>0</v>
      </c>
      <c r="F51" s="38">
        <v>0</v>
      </c>
      <c r="G51" s="38">
        <v>0</v>
      </c>
      <c r="H51" s="39">
        <v>0</v>
      </c>
      <c r="I51" s="32">
        <f t="shared" si="2"/>
        <v>0</v>
      </c>
    </row>
    <row r="52" spans="1:9" ht="24.75" customHeight="1">
      <c r="A52" s="89"/>
      <c r="B52" s="89"/>
      <c r="C52" s="25" t="s">
        <v>20</v>
      </c>
      <c r="D52" s="38">
        <v>690</v>
      </c>
      <c r="E52" s="38">
        <v>0</v>
      </c>
      <c r="F52" s="38">
        <v>0</v>
      </c>
      <c r="G52" s="38">
        <v>0</v>
      </c>
      <c r="H52" s="39">
        <v>690</v>
      </c>
      <c r="I52" s="32">
        <f t="shared" si="2"/>
        <v>7.7204650978248942E-4</v>
      </c>
    </row>
    <row r="53" spans="1:9" ht="30.75" customHeight="1">
      <c r="A53" s="89"/>
      <c r="B53" s="89"/>
      <c r="C53" s="25" t="s">
        <v>21</v>
      </c>
      <c r="D53" s="38">
        <v>1750</v>
      </c>
      <c r="E53" s="38">
        <v>0</v>
      </c>
      <c r="F53" s="38">
        <v>0</v>
      </c>
      <c r="G53" s="38">
        <v>0</v>
      </c>
      <c r="H53" s="39">
        <v>1750</v>
      </c>
      <c r="I53" s="32">
        <f t="shared" si="2"/>
        <v>1.9580889740860238E-3</v>
      </c>
    </row>
    <row r="54" spans="1:9" ht="25.5" customHeight="1">
      <c r="A54" s="89"/>
      <c r="B54" s="89" t="s">
        <v>82</v>
      </c>
      <c r="C54" s="89"/>
      <c r="D54" s="38">
        <v>655279</v>
      </c>
      <c r="E54" s="38">
        <v>0</v>
      </c>
      <c r="F54" s="38">
        <v>0</v>
      </c>
      <c r="G54" s="38">
        <v>0</v>
      </c>
      <c r="H54" s="39">
        <v>655279</v>
      </c>
      <c r="I54" s="32">
        <f t="shared" si="2"/>
        <v>0.73319690562863749</v>
      </c>
    </row>
    <row r="55" spans="1:9" ht="15" customHeight="1">
      <c r="A55" s="89"/>
      <c r="B55" s="89" t="s">
        <v>83</v>
      </c>
      <c r="C55" s="25" t="s">
        <v>15</v>
      </c>
      <c r="D55" s="38">
        <v>29658</v>
      </c>
      <c r="E55" s="38">
        <v>0</v>
      </c>
      <c r="F55" s="38">
        <v>0</v>
      </c>
      <c r="G55" s="38">
        <v>0</v>
      </c>
      <c r="H55" s="39">
        <v>29658</v>
      </c>
      <c r="I55" s="32">
        <f t="shared" si="2"/>
        <v>3.3184573024824741E-2</v>
      </c>
    </row>
    <row r="56" spans="1:9" ht="15" customHeight="1">
      <c r="A56" s="89"/>
      <c r="B56" s="89"/>
      <c r="C56" s="25" t="s">
        <v>16</v>
      </c>
      <c r="D56" s="38">
        <v>153530</v>
      </c>
      <c r="E56" s="38">
        <v>0</v>
      </c>
      <c r="F56" s="38">
        <v>0</v>
      </c>
      <c r="G56" s="38">
        <v>0</v>
      </c>
      <c r="H56" s="39">
        <v>153530</v>
      </c>
      <c r="I56" s="32">
        <f t="shared" si="2"/>
        <v>0.17178594296652985</v>
      </c>
    </row>
    <row r="57" spans="1:9" ht="15" customHeight="1">
      <c r="A57" s="89"/>
      <c r="B57" s="89"/>
      <c r="C57" s="25" t="s">
        <v>19</v>
      </c>
      <c r="D57" s="38">
        <v>170000</v>
      </c>
      <c r="E57" s="38">
        <v>0</v>
      </c>
      <c r="F57" s="38">
        <v>0</v>
      </c>
      <c r="G57" s="38">
        <v>0</v>
      </c>
      <c r="H57" s="39">
        <v>170000</v>
      </c>
      <c r="I57" s="32">
        <f t="shared" si="2"/>
        <v>0.19021435748264232</v>
      </c>
    </row>
    <row r="58" spans="1:9" ht="25.5" customHeight="1">
      <c r="A58" s="89"/>
      <c r="B58" s="89" t="s">
        <v>84</v>
      </c>
      <c r="C58" s="89"/>
      <c r="D58" s="38">
        <v>353188</v>
      </c>
      <c r="E58" s="38">
        <v>0</v>
      </c>
      <c r="F58" s="38">
        <v>0</v>
      </c>
      <c r="G58" s="38">
        <v>0</v>
      </c>
      <c r="H58" s="39">
        <v>353188</v>
      </c>
      <c r="I58" s="32">
        <f t="shared" si="2"/>
        <v>0.39518487347399694</v>
      </c>
    </row>
    <row r="59" spans="1:9" ht="15" customHeight="1">
      <c r="A59" s="89"/>
      <c r="B59" s="89" t="s">
        <v>85</v>
      </c>
      <c r="C59" s="25" t="s">
        <v>15</v>
      </c>
      <c r="D59" s="38">
        <v>351305</v>
      </c>
      <c r="E59" s="38">
        <v>0</v>
      </c>
      <c r="F59" s="38">
        <v>0</v>
      </c>
      <c r="G59" s="38">
        <v>0</v>
      </c>
      <c r="H59" s="39">
        <v>351305</v>
      </c>
      <c r="I59" s="32">
        <f t="shared" si="2"/>
        <v>0.39307796973788034</v>
      </c>
    </row>
    <row r="60" spans="1:9" ht="15" customHeight="1">
      <c r="A60" s="89"/>
      <c r="B60" s="89"/>
      <c r="C60" s="25" t="s">
        <v>16</v>
      </c>
      <c r="D60" s="38">
        <v>10923</v>
      </c>
      <c r="E60" s="38">
        <v>0</v>
      </c>
      <c r="F60" s="38">
        <v>0</v>
      </c>
      <c r="G60" s="38">
        <v>0</v>
      </c>
      <c r="H60" s="39">
        <v>10923</v>
      </c>
      <c r="I60" s="32">
        <f t="shared" si="2"/>
        <v>1.2221831922252365E-2</v>
      </c>
    </row>
    <row r="61" spans="1:9" ht="15" customHeight="1">
      <c r="A61" s="89"/>
      <c r="B61" s="89" t="s">
        <v>86</v>
      </c>
      <c r="C61" s="89"/>
      <c r="D61" s="38">
        <v>362228</v>
      </c>
      <c r="E61" s="38">
        <v>0</v>
      </c>
      <c r="F61" s="38">
        <v>0</v>
      </c>
      <c r="G61" s="38">
        <v>0</v>
      </c>
      <c r="H61" s="39">
        <v>362228</v>
      </c>
      <c r="I61" s="32">
        <f t="shared" si="2"/>
        <v>0.40529980166013274</v>
      </c>
    </row>
    <row r="62" spans="1:9" ht="15" customHeight="1">
      <c r="A62" s="89"/>
      <c r="B62" s="89" t="s">
        <v>87</v>
      </c>
      <c r="C62" s="25" t="s">
        <v>16</v>
      </c>
      <c r="D62" s="38">
        <v>245000</v>
      </c>
      <c r="E62" s="38">
        <v>600</v>
      </c>
      <c r="F62" s="38">
        <v>0</v>
      </c>
      <c r="G62" s="38">
        <v>1268146</v>
      </c>
      <c r="H62" s="39">
        <v>1513746</v>
      </c>
      <c r="I62" s="32">
        <f t="shared" si="2"/>
        <v>1.69374248695247</v>
      </c>
    </row>
    <row r="63" spans="1:9" ht="15" customHeight="1">
      <c r="A63" s="89"/>
      <c r="B63" s="89"/>
      <c r="C63" s="25" t="s">
        <v>19</v>
      </c>
      <c r="D63" s="38">
        <v>722500</v>
      </c>
      <c r="E63" s="38">
        <v>10085953</v>
      </c>
      <c r="F63" s="38">
        <v>0</v>
      </c>
      <c r="G63" s="38">
        <v>390760</v>
      </c>
      <c r="H63" s="39">
        <f>D63+E63+F63+G63</f>
        <v>11199213</v>
      </c>
      <c r="I63" s="32">
        <f t="shared" si="2"/>
        <v>12.530888853566207</v>
      </c>
    </row>
    <row r="64" spans="1:9" ht="15" customHeight="1">
      <c r="A64" s="89"/>
      <c r="B64" s="89" t="s">
        <v>88</v>
      </c>
      <c r="C64" s="89"/>
      <c r="D64" s="38">
        <f>D62+D63</f>
        <v>967500</v>
      </c>
      <c r="E64" s="38">
        <v>10086553</v>
      </c>
      <c r="F64" s="38">
        <v>0</v>
      </c>
      <c r="G64" s="38">
        <v>1658906</v>
      </c>
      <c r="H64" s="39">
        <f>D64+E64+F64+G64</f>
        <v>12712959</v>
      </c>
      <c r="I64" s="32">
        <f t="shared" si="2"/>
        <v>14.224631340518677</v>
      </c>
    </row>
    <row r="65" spans="1:9" ht="15" customHeight="1">
      <c r="A65" s="89"/>
      <c r="B65" s="89" t="s">
        <v>89</v>
      </c>
      <c r="C65" s="25" t="s">
        <v>15</v>
      </c>
      <c r="D65" s="38">
        <v>425159</v>
      </c>
      <c r="E65" s="38">
        <v>0</v>
      </c>
      <c r="F65" s="38">
        <v>0</v>
      </c>
      <c r="G65" s="38">
        <v>0</v>
      </c>
      <c r="H65" s="39">
        <v>425159</v>
      </c>
      <c r="I65" s="32">
        <f t="shared" si="2"/>
        <v>0.47571380007625136</v>
      </c>
    </row>
    <row r="66" spans="1:9" ht="15" customHeight="1">
      <c r="A66" s="89"/>
      <c r="B66" s="89"/>
      <c r="C66" s="25" t="s">
        <v>16</v>
      </c>
      <c r="D66" s="38">
        <v>603640</v>
      </c>
      <c r="E66" s="38">
        <v>0</v>
      </c>
      <c r="F66" s="38">
        <v>0</v>
      </c>
      <c r="G66" s="38">
        <v>0</v>
      </c>
      <c r="H66" s="39">
        <v>603640</v>
      </c>
      <c r="I66" s="32">
        <f t="shared" si="2"/>
        <v>0.67541761618130713</v>
      </c>
    </row>
    <row r="67" spans="1:9" ht="15" customHeight="1">
      <c r="A67" s="89"/>
      <c r="B67" s="89"/>
      <c r="C67" s="25" t="s">
        <v>19</v>
      </c>
      <c r="D67" s="38">
        <v>101600</v>
      </c>
      <c r="E67" s="38">
        <v>0</v>
      </c>
      <c r="F67" s="38">
        <v>0</v>
      </c>
      <c r="G67" s="38">
        <v>0</v>
      </c>
      <c r="H67" s="39">
        <v>101600</v>
      </c>
      <c r="I67" s="32">
        <f t="shared" si="2"/>
        <v>0.1136810512955086</v>
      </c>
    </row>
    <row r="68" spans="1:9" ht="15" customHeight="1">
      <c r="A68" s="89"/>
      <c r="B68" s="89" t="s">
        <v>90</v>
      </c>
      <c r="C68" s="89"/>
      <c r="D68" s="38">
        <v>1130399</v>
      </c>
      <c r="E68" s="38">
        <v>0</v>
      </c>
      <c r="F68" s="38">
        <v>0</v>
      </c>
      <c r="G68" s="38">
        <v>0</v>
      </c>
      <c r="H68" s="39">
        <v>1130399</v>
      </c>
      <c r="I68" s="32">
        <f t="shared" si="2"/>
        <v>1.264812467553067</v>
      </c>
    </row>
    <row r="69" spans="1:9" ht="15" customHeight="1">
      <c r="A69" s="89"/>
      <c r="B69" s="89" t="s">
        <v>91</v>
      </c>
      <c r="C69" s="25" t="s">
        <v>15</v>
      </c>
      <c r="D69" s="38">
        <v>349909</v>
      </c>
      <c r="E69" s="38">
        <v>72781</v>
      </c>
      <c r="F69" s="38">
        <v>0</v>
      </c>
      <c r="G69" s="38">
        <v>0</v>
      </c>
      <c r="H69" s="39">
        <v>422690</v>
      </c>
      <c r="I69" s="32">
        <f t="shared" si="2"/>
        <v>0.47295121626081227</v>
      </c>
    </row>
    <row r="70" spans="1:9" ht="15" customHeight="1">
      <c r="A70" s="89"/>
      <c r="B70" s="89"/>
      <c r="C70" s="25" t="s">
        <v>16</v>
      </c>
      <c r="D70" s="38">
        <f>1122253-330000</f>
        <v>792253</v>
      </c>
      <c r="E70" s="38">
        <v>123840</v>
      </c>
      <c r="F70" s="38">
        <v>0</v>
      </c>
      <c r="G70" s="38">
        <v>0</v>
      </c>
      <c r="H70" s="39">
        <f>D70+E70+F70+G70</f>
        <v>916093</v>
      </c>
      <c r="I70" s="32">
        <f t="shared" si="2"/>
        <v>1.0250237728785074</v>
      </c>
    </row>
    <row r="71" spans="1:9" ht="15" customHeight="1">
      <c r="A71" s="89"/>
      <c r="B71" s="89"/>
      <c r="C71" s="25" t="s">
        <v>17</v>
      </c>
      <c r="D71" s="38">
        <v>35000</v>
      </c>
      <c r="E71" s="38">
        <v>15000</v>
      </c>
      <c r="F71" s="38">
        <v>0</v>
      </c>
      <c r="G71" s="38">
        <v>0</v>
      </c>
      <c r="H71" s="39">
        <v>50000</v>
      </c>
      <c r="I71" s="32">
        <f t="shared" si="2"/>
        <v>5.5945399259600681E-2</v>
      </c>
    </row>
    <row r="72" spans="1:9" ht="15" customHeight="1">
      <c r="A72" s="89"/>
      <c r="B72" s="89"/>
      <c r="C72" s="25" t="s">
        <v>19</v>
      </c>
      <c r="D72" s="38">
        <v>9450</v>
      </c>
      <c r="E72" s="38">
        <v>94660</v>
      </c>
      <c r="F72" s="38">
        <v>0</v>
      </c>
      <c r="G72" s="38">
        <v>0</v>
      </c>
      <c r="H72" s="39">
        <v>104110</v>
      </c>
      <c r="I72" s="32">
        <f t="shared" si="2"/>
        <v>0.11648951033834054</v>
      </c>
    </row>
    <row r="73" spans="1:9" ht="28.5" customHeight="1">
      <c r="A73" s="89"/>
      <c r="B73" s="89"/>
      <c r="C73" s="25" t="s">
        <v>21</v>
      </c>
      <c r="D73" s="38">
        <v>35000</v>
      </c>
      <c r="E73" s="38">
        <v>0</v>
      </c>
      <c r="F73" s="38">
        <v>0</v>
      </c>
      <c r="G73" s="38">
        <v>0</v>
      </c>
      <c r="H73" s="39">
        <v>35000</v>
      </c>
      <c r="I73" s="32">
        <f t="shared" si="2"/>
        <v>3.9161779481720477E-2</v>
      </c>
    </row>
    <row r="74" spans="1:9" ht="15" customHeight="1">
      <c r="A74" s="89"/>
      <c r="B74" s="89" t="s">
        <v>92</v>
      </c>
      <c r="C74" s="89"/>
      <c r="D74" s="38">
        <f>D69+D70+D71+D72+D73</f>
        <v>1221612</v>
      </c>
      <c r="E74" s="38">
        <f>E69+E70+E71+E72+E73</f>
        <v>306281</v>
      </c>
      <c r="F74" s="38">
        <f>F69+F70+F71+F72+F73</f>
        <v>0</v>
      </c>
      <c r="G74" s="38">
        <f>G69+G70+G71+G72+G73</f>
        <v>0</v>
      </c>
      <c r="H74" s="38">
        <f>H69+H70+H71+H72+H73</f>
        <v>1527893</v>
      </c>
      <c r="I74" s="32">
        <f t="shared" si="2"/>
        <v>1.7095716782189814</v>
      </c>
    </row>
    <row r="75" spans="1:9" s="3" customFormat="1" ht="15" customHeight="1">
      <c r="A75" s="90" t="s">
        <v>93</v>
      </c>
      <c r="B75" s="90"/>
      <c r="C75" s="90"/>
      <c r="D75" s="40">
        <f>D54+D58+D61+D64+D68+D74</f>
        <v>4690206</v>
      </c>
      <c r="E75" s="40">
        <f>E54+E58+E61+E64+E68+E74</f>
        <v>10392834</v>
      </c>
      <c r="F75" s="40">
        <f>F54+F58+F61+F64+F68+F74</f>
        <v>0</v>
      </c>
      <c r="G75" s="40">
        <f>G54+G58+G61+G64+G68+G74</f>
        <v>1658906</v>
      </c>
      <c r="H75" s="40">
        <f>H54+H58+H61+H64+H68+H74</f>
        <v>16741946</v>
      </c>
      <c r="I75" s="30">
        <f t="shared" si="2"/>
        <v>18.732697067053493</v>
      </c>
    </row>
    <row r="76" spans="1:9" ht="15" customHeight="1">
      <c r="A76" s="89" t="s">
        <v>40</v>
      </c>
      <c r="B76" s="25" t="s">
        <v>94</v>
      </c>
      <c r="C76" s="25" t="s">
        <v>17</v>
      </c>
      <c r="D76" s="38">
        <v>0</v>
      </c>
      <c r="E76" s="38">
        <v>0</v>
      </c>
      <c r="F76" s="38">
        <v>30000</v>
      </c>
      <c r="G76" s="38">
        <v>0</v>
      </c>
      <c r="H76" s="39">
        <v>30000</v>
      </c>
      <c r="I76" s="32">
        <f t="shared" si="2"/>
        <v>3.3567239555760409E-2</v>
      </c>
    </row>
    <row r="77" spans="1:9" ht="15" customHeight="1">
      <c r="A77" s="89"/>
      <c r="B77" s="89" t="s">
        <v>95</v>
      </c>
      <c r="C77" s="25" t="s">
        <v>15</v>
      </c>
      <c r="D77" s="38">
        <v>0</v>
      </c>
      <c r="E77" s="38">
        <v>13139</v>
      </c>
      <c r="F77" s="38">
        <v>0</v>
      </c>
      <c r="G77" s="38">
        <v>0</v>
      </c>
      <c r="H77" s="39">
        <v>13139</v>
      </c>
      <c r="I77" s="32">
        <f t="shared" si="2"/>
        <v>1.4701332017437868E-2</v>
      </c>
    </row>
    <row r="78" spans="1:9" ht="15" customHeight="1">
      <c r="A78" s="89"/>
      <c r="B78" s="89"/>
      <c r="C78" s="25" t="s">
        <v>16</v>
      </c>
      <c r="D78" s="38">
        <v>0</v>
      </c>
      <c r="E78" s="38">
        <v>35816</v>
      </c>
      <c r="F78" s="38">
        <v>0</v>
      </c>
      <c r="G78" s="38">
        <v>0</v>
      </c>
      <c r="H78" s="39">
        <v>35816</v>
      </c>
      <c r="I78" s="32">
        <f t="shared" si="2"/>
        <v>4.0074808397637163E-2</v>
      </c>
    </row>
    <row r="79" spans="1:9" ht="15" customHeight="1">
      <c r="A79" s="89"/>
      <c r="B79" s="89"/>
      <c r="C79" s="25" t="s">
        <v>19</v>
      </c>
      <c r="D79" s="38">
        <v>0</v>
      </c>
      <c r="E79" s="38">
        <v>268705</v>
      </c>
      <c r="F79" s="38">
        <v>0</v>
      </c>
      <c r="G79" s="38">
        <v>0</v>
      </c>
      <c r="H79" s="39">
        <v>268705</v>
      </c>
      <c r="I79" s="32">
        <f t="shared" si="2"/>
        <v>0.30065617016102003</v>
      </c>
    </row>
    <row r="80" spans="1:9" ht="15" customHeight="1">
      <c r="A80" s="89"/>
      <c r="B80" s="89" t="s">
        <v>96</v>
      </c>
      <c r="C80" s="89"/>
      <c r="D80" s="38">
        <v>0</v>
      </c>
      <c r="E80" s="38">
        <v>317660</v>
      </c>
      <c r="F80" s="38">
        <v>0</v>
      </c>
      <c r="G80" s="38">
        <v>0</v>
      </c>
      <c r="H80" s="39">
        <v>317660</v>
      </c>
      <c r="I80" s="32">
        <f t="shared" si="2"/>
        <v>0.35543231057609509</v>
      </c>
    </row>
    <row r="81" spans="1:9" ht="15" customHeight="1">
      <c r="A81" s="89"/>
      <c r="B81" s="25" t="s">
        <v>97</v>
      </c>
      <c r="C81" s="25" t="s">
        <v>19</v>
      </c>
      <c r="D81" s="38">
        <v>0</v>
      </c>
      <c r="E81" s="38">
        <v>0</v>
      </c>
      <c r="F81" s="38">
        <v>0</v>
      </c>
      <c r="G81" s="38">
        <v>0</v>
      </c>
      <c r="H81" s="39">
        <v>0</v>
      </c>
      <c r="I81" s="32">
        <f t="shared" si="2"/>
        <v>0</v>
      </c>
    </row>
    <row r="82" spans="1:9" ht="15" customHeight="1">
      <c r="A82" s="89"/>
      <c r="B82" s="89" t="s">
        <v>98</v>
      </c>
      <c r="C82" s="25" t="s">
        <v>15</v>
      </c>
      <c r="D82" s="38">
        <v>102489</v>
      </c>
      <c r="E82" s="38">
        <v>0</v>
      </c>
      <c r="F82" s="38">
        <v>0</v>
      </c>
      <c r="G82" s="38">
        <v>0</v>
      </c>
      <c r="H82" s="39">
        <v>102489</v>
      </c>
      <c r="I82" s="32">
        <f t="shared" si="2"/>
        <v>0.11467576049434429</v>
      </c>
    </row>
    <row r="83" spans="1:9" ht="15" customHeight="1">
      <c r="A83" s="89"/>
      <c r="B83" s="89"/>
      <c r="C83" s="25" t="s">
        <v>16</v>
      </c>
      <c r="D83" s="38">
        <v>88300</v>
      </c>
      <c r="E83" s="38">
        <v>0</v>
      </c>
      <c r="F83" s="38">
        <v>1111000</v>
      </c>
      <c r="G83" s="38">
        <v>0</v>
      </c>
      <c r="H83" s="39">
        <v>1199300</v>
      </c>
      <c r="I83" s="32">
        <f t="shared" si="2"/>
        <v>1.3419063466407819</v>
      </c>
    </row>
    <row r="84" spans="1:9" ht="15" customHeight="1">
      <c r="A84" s="89"/>
      <c r="B84" s="89"/>
      <c r="C84" s="25" t="s">
        <v>17</v>
      </c>
      <c r="D84" s="38">
        <v>0</v>
      </c>
      <c r="E84" s="38">
        <v>0</v>
      </c>
      <c r="F84" s="38">
        <v>614800</v>
      </c>
      <c r="G84" s="38">
        <v>0</v>
      </c>
      <c r="H84" s="39">
        <v>614800</v>
      </c>
      <c r="I84" s="32">
        <f t="shared" si="2"/>
        <v>0.68790462929605001</v>
      </c>
    </row>
    <row r="85" spans="1:9" ht="15" customHeight="1">
      <c r="A85" s="89"/>
      <c r="B85" s="89"/>
      <c r="C85" s="25" t="s">
        <v>19</v>
      </c>
      <c r="D85" s="38">
        <v>4500</v>
      </c>
      <c r="E85" s="38">
        <v>0</v>
      </c>
      <c r="F85" s="38">
        <v>25000</v>
      </c>
      <c r="G85" s="38">
        <v>0</v>
      </c>
      <c r="H85" s="39">
        <v>29500</v>
      </c>
      <c r="I85" s="32">
        <f t="shared" si="2"/>
        <v>3.3007785563164402E-2</v>
      </c>
    </row>
    <row r="86" spans="1:9" ht="15" customHeight="1">
      <c r="A86" s="89"/>
      <c r="B86" s="89" t="s">
        <v>99</v>
      </c>
      <c r="C86" s="89"/>
      <c r="D86" s="38">
        <v>195289</v>
      </c>
      <c r="E86" s="38">
        <v>0</v>
      </c>
      <c r="F86" s="38">
        <v>1750800</v>
      </c>
      <c r="G86" s="38">
        <v>0</v>
      </c>
      <c r="H86" s="39">
        <v>1946089</v>
      </c>
      <c r="I86" s="32">
        <f t="shared" ref="I86:I149" si="3">H86*100/$H$194</f>
        <v>2.1774945219943409</v>
      </c>
    </row>
    <row r="87" spans="1:9" s="3" customFormat="1" ht="15" customHeight="1">
      <c r="A87" s="90" t="s">
        <v>100</v>
      </c>
      <c r="B87" s="90"/>
      <c r="C87" s="90"/>
      <c r="D87" s="40">
        <v>195289</v>
      </c>
      <c r="E87" s="40">
        <v>317660</v>
      </c>
      <c r="F87" s="40">
        <v>1780800</v>
      </c>
      <c r="G87" s="40">
        <v>0</v>
      </c>
      <c r="H87" s="41">
        <v>2293749</v>
      </c>
      <c r="I87" s="30">
        <f t="shared" si="3"/>
        <v>2.5664940721261962</v>
      </c>
    </row>
    <row r="88" spans="1:9" ht="15" customHeight="1">
      <c r="A88" s="89" t="s">
        <v>41</v>
      </c>
      <c r="B88" s="89" t="s">
        <v>101</v>
      </c>
      <c r="C88" s="25" t="s">
        <v>16</v>
      </c>
      <c r="D88" s="38">
        <v>92226</v>
      </c>
      <c r="E88" s="38">
        <v>0</v>
      </c>
      <c r="F88" s="38">
        <v>0</v>
      </c>
      <c r="G88" s="38">
        <v>0</v>
      </c>
      <c r="H88" s="39">
        <v>92226</v>
      </c>
      <c r="I88" s="32">
        <f t="shared" si="3"/>
        <v>0.10319240784231866</v>
      </c>
    </row>
    <row r="89" spans="1:9" ht="15" customHeight="1">
      <c r="A89" s="89"/>
      <c r="B89" s="89"/>
      <c r="C89" s="25" t="s">
        <v>17</v>
      </c>
      <c r="D89" s="38">
        <v>6000</v>
      </c>
      <c r="E89" s="38">
        <v>0</v>
      </c>
      <c r="F89" s="38">
        <v>0</v>
      </c>
      <c r="G89" s="38">
        <v>0</v>
      </c>
      <c r="H89" s="39">
        <v>6000</v>
      </c>
      <c r="I89" s="32">
        <f t="shared" si="3"/>
        <v>6.7134479111520817E-3</v>
      </c>
    </row>
    <row r="90" spans="1:9" ht="15" customHeight="1">
      <c r="A90" s="89"/>
      <c r="B90" s="89" t="s">
        <v>102</v>
      </c>
      <c r="C90" s="89"/>
      <c r="D90" s="38">
        <v>98226</v>
      </c>
      <c r="E90" s="38">
        <v>0</v>
      </c>
      <c r="F90" s="38">
        <v>0</v>
      </c>
      <c r="G90" s="38">
        <v>0</v>
      </c>
      <c r="H90" s="39">
        <v>98226</v>
      </c>
      <c r="I90" s="32">
        <f t="shared" si="3"/>
        <v>0.10990585575347074</v>
      </c>
    </row>
    <row r="91" spans="1:9" ht="15" customHeight="1">
      <c r="A91" s="89"/>
      <c r="B91" s="89" t="s">
        <v>103</v>
      </c>
      <c r="C91" s="25" t="s">
        <v>15</v>
      </c>
      <c r="D91" s="38">
        <v>106519</v>
      </c>
      <c r="E91" s="38">
        <v>0</v>
      </c>
      <c r="F91" s="38">
        <v>0</v>
      </c>
      <c r="G91" s="38">
        <v>0</v>
      </c>
      <c r="H91" s="39">
        <v>106519</v>
      </c>
      <c r="I91" s="32">
        <f t="shared" si="3"/>
        <v>0.11918495967466811</v>
      </c>
    </row>
    <row r="92" spans="1:9" ht="15" customHeight="1">
      <c r="A92" s="89"/>
      <c r="B92" s="89"/>
      <c r="C92" s="25" t="s">
        <v>16</v>
      </c>
      <c r="D92" s="38">
        <v>592</v>
      </c>
      <c r="E92" s="38">
        <v>0</v>
      </c>
      <c r="F92" s="38">
        <v>0</v>
      </c>
      <c r="G92" s="38">
        <v>0</v>
      </c>
      <c r="H92" s="39">
        <v>592</v>
      </c>
      <c r="I92" s="32">
        <f t="shared" si="3"/>
        <v>6.6239352723367214E-4</v>
      </c>
    </row>
    <row r="93" spans="1:9" ht="15" customHeight="1">
      <c r="A93" s="89"/>
      <c r="B93" s="89"/>
      <c r="C93" s="25" t="s">
        <v>19</v>
      </c>
      <c r="D93" s="38">
        <v>86346</v>
      </c>
      <c r="E93" s="38">
        <v>0</v>
      </c>
      <c r="F93" s="38">
        <v>0</v>
      </c>
      <c r="G93" s="38">
        <v>0</v>
      </c>
      <c r="H93" s="39">
        <v>86346</v>
      </c>
      <c r="I93" s="32">
        <f t="shared" si="3"/>
        <v>9.6613228889389613E-2</v>
      </c>
    </row>
    <row r="94" spans="1:9" ht="15" customHeight="1">
      <c r="A94" s="89"/>
      <c r="B94" s="89" t="s">
        <v>104</v>
      </c>
      <c r="C94" s="89"/>
      <c r="D94" s="38">
        <v>193457</v>
      </c>
      <c r="E94" s="38">
        <v>0</v>
      </c>
      <c r="F94" s="38">
        <v>0</v>
      </c>
      <c r="G94" s="38">
        <v>0</v>
      </c>
      <c r="H94" s="39">
        <v>193457</v>
      </c>
      <c r="I94" s="32">
        <f t="shared" si="3"/>
        <v>0.21646058209129138</v>
      </c>
    </row>
    <row r="95" spans="1:9" ht="19.5" customHeight="1">
      <c r="A95" s="89"/>
      <c r="B95" s="25" t="s">
        <v>105</v>
      </c>
      <c r="C95" s="25" t="s">
        <v>16</v>
      </c>
      <c r="D95" s="38">
        <v>242155</v>
      </c>
      <c r="E95" s="38">
        <v>0</v>
      </c>
      <c r="F95" s="38">
        <v>0</v>
      </c>
      <c r="G95" s="38">
        <v>0</v>
      </c>
      <c r="H95" s="39">
        <v>242155</v>
      </c>
      <c r="I95" s="32">
        <f t="shared" si="3"/>
        <v>0.27094916315417206</v>
      </c>
    </row>
    <row r="96" spans="1:9" ht="15" customHeight="1">
      <c r="A96" s="89"/>
      <c r="B96" s="89" t="s">
        <v>106</v>
      </c>
      <c r="C96" s="25" t="s">
        <v>15</v>
      </c>
      <c r="D96" s="38">
        <v>2891497</v>
      </c>
      <c r="E96" s="38">
        <v>0</v>
      </c>
      <c r="F96" s="38">
        <v>0</v>
      </c>
      <c r="G96" s="38">
        <v>0</v>
      </c>
      <c r="H96" s="39">
        <v>2891497</v>
      </c>
      <c r="I96" s="32">
        <f t="shared" si="3"/>
        <v>3.2353190824587519</v>
      </c>
    </row>
    <row r="97" spans="1:9" ht="15" customHeight="1">
      <c r="A97" s="89"/>
      <c r="B97" s="89"/>
      <c r="C97" s="25" t="s">
        <v>16</v>
      </c>
      <c r="D97" s="38">
        <v>2866654</v>
      </c>
      <c r="E97" s="38">
        <v>0</v>
      </c>
      <c r="F97" s="38">
        <v>0</v>
      </c>
      <c r="G97" s="38">
        <v>0</v>
      </c>
      <c r="H97" s="39">
        <v>2866654</v>
      </c>
      <c r="I97" s="32">
        <f t="shared" si="3"/>
        <v>3.2075220513826266</v>
      </c>
    </row>
    <row r="98" spans="1:9" ht="15" customHeight="1">
      <c r="A98" s="89"/>
      <c r="B98" s="89"/>
      <c r="C98" s="25" t="s">
        <v>17</v>
      </c>
      <c r="D98" s="38">
        <v>570233</v>
      </c>
      <c r="E98" s="38">
        <v>30000</v>
      </c>
      <c r="F98" s="38">
        <v>0</v>
      </c>
      <c r="G98" s="38">
        <v>0</v>
      </c>
      <c r="H98" s="39">
        <f>D98+E98+F98+G98</f>
        <v>600233</v>
      </c>
      <c r="I98" s="32">
        <f t="shared" si="3"/>
        <v>0.67160549667575797</v>
      </c>
    </row>
    <row r="99" spans="1:9" ht="15" customHeight="1">
      <c r="A99" s="89"/>
      <c r="B99" s="89"/>
      <c r="C99" s="25" t="s">
        <v>19</v>
      </c>
      <c r="D99" s="38">
        <v>128976</v>
      </c>
      <c r="E99" s="38">
        <v>624031</v>
      </c>
      <c r="F99" s="38">
        <v>0</v>
      </c>
      <c r="G99" s="38">
        <v>0</v>
      </c>
      <c r="H99" s="39">
        <v>753007</v>
      </c>
      <c r="I99" s="32">
        <f t="shared" si="3"/>
        <v>0.84254554520548264</v>
      </c>
    </row>
    <row r="100" spans="1:9" ht="30.75" customHeight="1">
      <c r="A100" s="89"/>
      <c r="B100" s="89" t="s">
        <v>107</v>
      </c>
      <c r="C100" s="89"/>
      <c r="D100" s="38">
        <f>D96+D97+D98+D99</f>
        <v>6457360</v>
      </c>
      <c r="E100" s="38">
        <f>E96+E97+E98+E99</f>
        <v>654031</v>
      </c>
      <c r="F100" s="38">
        <f>F96+F97+F98+F99</f>
        <v>0</v>
      </c>
      <c r="G100" s="38">
        <f>G96+G97+G98+G99</f>
        <v>0</v>
      </c>
      <c r="H100" s="38">
        <f>H96+H97+H98+H99</f>
        <v>7111391</v>
      </c>
      <c r="I100" s="32">
        <f t="shared" si="3"/>
        <v>7.9569921757226192</v>
      </c>
    </row>
    <row r="101" spans="1:9" s="3" customFormat="1" ht="15" customHeight="1">
      <c r="A101" s="90" t="s">
        <v>108</v>
      </c>
      <c r="B101" s="90"/>
      <c r="C101" s="90"/>
      <c r="D101" s="40">
        <f>D100+D95+D94+D90</f>
        <v>6991198</v>
      </c>
      <c r="E101" s="40">
        <f>E100+E95+E94+E90</f>
        <v>654031</v>
      </c>
      <c r="F101" s="40">
        <f>F100+F95+F94+F90</f>
        <v>0</v>
      </c>
      <c r="G101" s="40">
        <f>G100+G95+G94+G90</f>
        <v>0</v>
      </c>
      <c r="H101" s="40">
        <f>H100+H95+H94+H90</f>
        <v>7645229</v>
      </c>
      <c r="I101" s="32">
        <f t="shared" si="3"/>
        <v>8.5543077767215543</v>
      </c>
    </row>
    <row r="102" spans="1:9" s="3" customFormat="1" ht="36.75" customHeight="1">
      <c r="A102" s="26" t="s">
        <v>42</v>
      </c>
      <c r="B102" s="26" t="s">
        <v>109</v>
      </c>
      <c r="C102" s="26" t="s">
        <v>17</v>
      </c>
      <c r="D102" s="40">
        <v>59000</v>
      </c>
      <c r="E102" s="40">
        <v>0</v>
      </c>
      <c r="F102" s="40">
        <v>0</v>
      </c>
      <c r="G102" s="40">
        <v>0</v>
      </c>
      <c r="H102" s="41">
        <v>59000</v>
      </c>
      <c r="I102" s="30">
        <f t="shared" si="3"/>
        <v>6.6015571126328804E-2</v>
      </c>
    </row>
    <row r="103" spans="1:9" ht="15" customHeight="1">
      <c r="A103" s="89" t="s">
        <v>43</v>
      </c>
      <c r="B103" s="89" t="s">
        <v>110</v>
      </c>
      <c r="C103" s="25" t="s">
        <v>15</v>
      </c>
      <c r="D103" s="38">
        <v>620449</v>
      </c>
      <c r="E103" s="38">
        <v>0</v>
      </c>
      <c r="F103" s="38">
        <v>0</v>
      </c>
      <c r="G103" s="38">
        <v>0</v>
      </c>
      <c r="H103" s="39">
        <v>620449</v>
      </c>
      <c r="I103" s="32">
        <f t="shared" si="3"/>
        <v>0.69422534050439966</v>
      </c>
    </row>
    <row r="104" spans="1:9" ht="15" customHeight="1">
      <c r="A104" s="89"/>
      <c r="B104" s="89"/>
      <c r="C104" s="25" t="s">
        <v>16</v>
      </c>
      <c r="D104" s="38">
        <v>184693</v>
      </c>
      <c r="E104" s="38">
        <v>0</v>
      </c>
      <c r="F104" s="38">
        <v>0</v>
      </c>
      <c r="G104" s="38">
        <v>0</v>
      </c>
      <c r="H104" s="39">
        <v>184693</v>
      </c>
      <c r="I104" s="32">
        <f t="shared" si="3"/>
        <v>0.20665447250906857</v>
      </c>
    </row>
    <row r="105" spans="1:9" ht="15" customHeight="1">
      <c r="A105" s="89"/>
      <c r="B105" s="89"/>
      <c r="C105" s="25" t="s">
        <v>17</v>
      </c>
      <c r="D105" s="38">
        <v>100000</v>
      </c>
      <c r="E105" s="38">
        <v>0</v>
      </c>
      <c r="F105" s="38">
        <v>0</v>
      </c>
      <c r="G105" s="38">
        <v>0</v>
      </c>
      <c r="H105" s="39">
        <v>100000</v>
      </c>
      <c r="I105" s="32">
        <f t="shared" si="3"/>
        <v>0.11189079851920136</v>
      </c>
    </row>
    <row r="106" spans="1:9" ht="15" customHeight="1">
      <c r="A106" s="89"/>
      <c r="B106" s="89"/>
      <c r="C106" s="25" t="s">
        <v>19</v>
      </c>
      <c r="D106" s="38">
        <v>4000</v>
      </c>
      <c r="E106" s="38">
        <v>0</v>
      </c>
      <c r="F106" s="38">
        <v>0</v>
      </c>
      <c r="G106" s="38">
        <v>0</v>
      </c>
      <c r="H106" s="39">
        <v>4000</v>
      </c>
      <c r="I106" s="32">
        <f t="shared" si="3"/>
        <v>4.4756319407680545E-3</v>
      </c>
    </row>
    <row r="107" spans="1:9" ht="15" customHeight="1">
      <c r="A107" s="89"/>
      <c r="B107" s="89" t="s">
        <v>111</v>
      </c>
      <c r="C107" s="89"/>
      <c r="D107" s="38">
        <v>909142</v>
      </c>
      <c r="E107" s="38">
        <v>0</v>
      </c>
      <c r="F107" s="38">
        <v>0</v>
      </c>
      <c r="G107" s="38">
        <v>0</v>
      </c>
      <c r="H107" s="39">
        <v>909142</v>
      </c>
      <c r="I107" s="32">
        <f t="shared" si="3"/>
        <v>1.0172462434734377</v>
      </c>
    </row>
    <row r="108" spans="1:9" ht="15" customHeight="1">
      <c r="A108" s="89"/>
      <c r="B108" s="89" t="s">
        <v>112</v>
      </c>
      <c r="C108" s="25" t="s">
        <v>15</v>
      </c>
      <c r="D108" s="38">
        <v>1938842</v>
      </c>
      <c r="E108" s="38">
        <v>9895</v>
      </c>
      <c r="F108" s="38">
        <v>0</v>
      </c>
      <c r="G108" s="38">
        <v>58458</v>
      </c>
      <c r="H108" s="39">
        <v>2007195</v>
      </c>
      <c r="I108" s="32">
        <f t="shared" si="3"/>
        <v>2.245866513337484</v>
      </c>
    </row>
    <row r="109" spans="1:9" ht="15" customHeight="1">
      <c r="A109" s="89"/>
      <c r="B109" s="89"/>
      <c r="C109" s="25" t="s">
        <v>16</v>
      </c>
      <c r="D109" s="38">
        <v>802642</v>
      </c>
      <c r="E109" s="38">
        <v>39040</v>
      </c>
      <c r="F109" s="38">
        <v>0</v>
      </c>
      <c r="G109" s="38">
        <v>0</v>
      </c>
      <c r="H109" s="39">
        <v>841682</v>
      </c>
      <c r="I109" s="32">
        <f t="shared" si="3"/>
        <v>0.94176471079238444</v>
      </c>
    </row>
    <row r="110" spans="1:9" ht="15" customHeight="1">
      <c r="A110" s="89"/>
      <c r="B110" s="89"/>
      <c r="C110" s="25" t="s">
        <v>19</v>
      </c>
      <c r="D110" s="38">
        <v>433490</v>
      </c>
      <c r="E110" s="38">
        <v>57710</v>
      </c>
      <c r="F110" s="38">
        <v>0</v>
      </c>
      <c r="G110" s="38">
        <v>0</v>
      </c>
      <c r="H110" s="39">
        <v>491200</v>
      </c>
      <c r="I110" s="32">
        <f t="shared" si="3"/>
        <v>0.54960760232631711</v>
      </c>
    </row>
    <row r="111" spans="1:9" ht="24" customHeight="1">
      <c r="A111" s="89"/>
      <c r="B111" s="89"/>
      <c r="C111" s="25" t="s">
        <v>20</v>
      </c>
      <c r="D111" s="38">
        <v>600</v>
      </c>
      <c r="E111" s="38">
        <v>0</v>
      </c>
      <c r="F111" s="38">
        <v>0</v>
      </c>
      <c r="G111" s="38">
        <v>0</v>
      </c>
      <c r="H111" s="39">
        <v>600</v>
      </c>
      <c r="I111" s="32">
        <f t="shared" si="3"/>
        <v>6.7134479111520822E-4</v>
      </c>
    </row>
    <row r="112" spans="1:9" ht="38.25" customHeight="1">
      <c r="A112" s="89"/>
      <c r="B112" s="89"/>
      <c r="C112" s="25" t="s">
        <v>21</v>
      </c>
      <c r="D112" s="38">
        <v>200</v>
      </c>
      <c r="E112" s="38">
        <v>0</v>
      </c>
      <c r="F112" s="38">
        <v>0</v>
      </c>
      <c r="G112" s="38">
        <v>1554</v>
      </c>
      <c r="H112" s="39">
        <v>1754</v>
      </c>
      <c r="I112" s="32">
        <f t="shared" si="3"/>
        <v>1.9625646060267921E-3</v>
      </c>
    </row>
    <row r="113" spans="1:9" ht="15" customHeight="1">
      <c r="A113" s="89"/>
      <c r="B113" s="89" t="s">
        <v>113</v>
      </c>
      <c r="C113" s="89"/>
      <c r="D113" s="38">
        <v>3175774</v>
      </c>
      <c r="E113" s="38">
        <v>106645</v>
      </c>
      <c r="F113" s="38">
        <v>0</v>
      </c>
      <c r="G113" s="38">
        <v>60012</v>
      </c>
      <c r="H113" s="39">
        <v>3342431</v>
      </c>
      <c r="I113" s="32">
        <f t="shared" si="3"/>
        <v>3.7398727358533272</v>
      </c>
    </row>
    <row r="114" spans="1:9" ht="15" customHeight="1">
      <c r="A114" s="89"/>
      <c r="B114" s="89" t="s">
        <v>114</v>
      </c>
      <c r="C114" s="25" t="s">
        <v>15</v>
      </c>
      <c r="D114" s="38">
        <v>1138</v>
      </c>
      <c r="E114" s="38">
        <v>50865</v>
      </c>
      <c r="F114" s="38">
        <v>0</v>
      </c>
      <c r="G114" s="38">
        <v>0</v>
      </c>
      <c r="H114" s="39">
        <v>52003</v>
      </c>
      <c r="I114" s="32">
        <f t="shared" si="3"/>
        <v>5.8186571953940287E-2</v>
      </c>
    </row>
    <row r="115" spans="1:9" ht="15" customHeight="1">
      <c r="A115" s="89"/>
      <c r="B115" s="89"/>
      <c r="C115" s="25" t="s">
        <v>16</v>
      </c>
      <c r="D115" s="38">
        <v>23389</v>
      </c>
      <c r="E115" s="38">
        <v>100041</v>
      </c>
      <c r="F115" s="38">
        <v>0</v>
      </c>
      <c r="G115" s="38">
        <v>0</v>
      </c>
      <c r="H115" s="39">
        <v>123430</v>
      </c>
      <c r="I115" s="32">
        <f t="shared" si="3"/>
        <v>0.13810681261225025</v>
      </c>
    </row>
    <row r="116" spans="1:9" ht="15" customHeight="1">
      <c r="A116" s="89"/>
      <c r="B116" s="89"/>
      <c r="C116" s="25" t="s">
        <v>19</v>
      </c>
      <c r="D116" s="38">
        <v>0</v>
      </c>
      <c r="E116" s="38">
        <v>317152</v>
      </c>
      <c r="F116" s="38">
        <v>0</v>
      </c>
      <c r="G116" s="38">
        <v>0</v>
      </c>
      <c r="H116" s="39">
        <v>317152</v>
      </c>
      <c r="I116" s="32">
        <f t="shared" si="3"/>
        <v>0.35486390531961753</v>
      </c>
    </row>
    <row r="117" spans="1:9" ht="25.5" customHeight="1">
      <c r="A117" s="89"/>
      <c r="B117" s="89"/>
      <c r="C117" s="25" t="s">
        <v>20</v>
      </c>
      <c r="D117" s="38">
        <v>12500</v>
      </c>
      <c r="E117" s="38">
        <v>0</v>
      </c>
      <c r="F117" s="38">
        <v>0</v>
      </c>
      <c r="G117" s="38">
        <v>0</v>
      </c>
      <c r="H117" s="39">
        <v>12500</v>
      </c>
      <c r="I117" s="32">
        <f t="shared" si="3"/>
        <v>1.398634981490017E-2</v>
      </c>
    </row>
    <row r="118" spans="1:9" ht="15" customHeight="1">
      <c r="A118" s="89"/>
      <c r="B118" s="89"/>
      <c r="C118" s="25" t="s">
        <v>21</v>
      </c>
      <c r="D118" s="38">
        <v>19364</v>
      </c>
      <c r="E118" s="38">
        <v>0</v>
      </c>
      <c r="F118" s="38">
        <v>0</v>
      </c>
      <c r="G118" s="38">
        <v>0</v>
      </c>
      <c r="H118" s="39">
        <v>19364</v>
      </c>
      <c r="I118" s="32">
        <f t="shared" si="3"/>
        <v>2.1666534225258154E-2</v>
      </c>
    </row>
    <row r="119" spans="1:9" ht="25.5" customHeight="1">
      <c r="A119" s="89"/>
      <c r="B119" s="89" t="s">
        <v>115</v>
      </c>
      <c r="C119" s="89"/>
      <c r="D119" s="38">
        <v>56391</v>
      </c>
      <c r="E119" s="38">
        <v>468058</v>
      </c>
      <c r="F119" s="38">
        <v>0</v>
      </c>
      <c r="G119" s="38">
        <v>0</v>
      </c>
      <c r="H119" s="39">
        <v>524449</v>
      </c>
      <c r="I119" s="32">
        <f t="shared" si="3"/>
        <v>0.58681017392596635</v>
      </c>
    </row>
    <row r="120" spans="1:9" s="3" customFormat="1" ht="15" customHeight="1">
      <c r="A120" s="90" t="s">
        <v>116</v>
      </c>
      <c r="B120" s="90"/>
      <c r="C120" s="90"/>
      <c r="D120" s="40">
        <v>4141307</v>
      </c>
      <c r="E120" s="40">
        <v>574703</v>
      </c>
      <c r="F120" s="40">
        <v>0</v>
      </c>
      <c r="G120" s="40">
        <v>60012</v>
      </c>
      <c r="H120" s="41">
        <v>4776022</v>
      </c>
      <c r="I120" s="30">
        <f t="shared" si="3"/>
        <v>5.3439291532527315</v>
      </c>
    </row>
    <row r="121" spans="1:9" ht="15" customHeight="1">
      <c r="A121" s="89" t="s">
        <v>44</v>
      </c>
      <c r="B121" s="89" t="s">
        <v>117</v>
      </c>
      <c r="C121" s="25" t="s">
        <v>15</v>
      </c>
      <c r="D121" s="38">
        <v>7170608</v>
      </c>
      <c r="E121" s="38">
        <v>0</v>
      </c>
      <c r="F121" s="38">
        <v>0</v>
      </c>
      <c r="G121" s="38">
        <v>1858650</v>
      </c>
      <c r="H121" s="39">
        <v>9029258</v>
      </c>
      <c r="I121" s="32">
        <f t="shared" si="3"/>
        <v>10.102908876558871</v>
      </c>
    </row>
    <row r="122" spans="1:9" ht="15" customHeight="1">
      <c r="A122" s="89"/>
      <c r="B122" s="89"/>
      <c r="C122" s="25" t="s">
        <v>16</v>
      </c>
      <c r="D122" s="38">
        <v>878965</v>
      </c>
      <c r="E122" s="38">
        <v>0</v>
      </c>
      <c r="F122" s="38">
        <v>0</v>
      </c>
      <c r="G122" s="38">
        <v>0</v>
      </c>
      <c r="H122" s="39">
        <v>878965</v>
      </c>
      <c r="I122" s="32">
        <f t="shared" si="3"/>
        <v>0.98348095720429829</v>
      </c>
    </row>
    <row r="123" spans="1:9" ht="15" customHeight="1">
      <c r="A123" s="89"/>
      <c r="B123" s="89"/>
      <c r="C123" s="25" t="s">
        <v>17</v>
      </c>
      <c r="D123" s="38">
        <v>147000</v>
      </c>
      <c r="E123" s="38">
        <v>0</v>
      </c>
      <c r="F123" s="38">
        <v>0</v>
      </c>
      <c r="G123" s="38">
        <v>0</v>
      </c>
      <c r="H123" s="39">
        <v>147000</v>
      </c>
      <c r="I123" s="32">
        <f t="shared" si="3"/>
        <v>0.164479473823226</v>
      </c>
    </row>
    <row r="124" spans="1:9" ht="15" customHeight="1">
      <c r="A124" s="89"/>
      <c r="B124" s="89"/>
      <c r="C124" s="25" t="s">
        <v>19</v>
      </c>
      <c r="D124" s="38">
        <v>40733</v>
      </c>
      <c r="E124" s="38">
        <v>0</v>
      </c>
      <c r="F124" s="38">
        <v>0</v>
      </c>
      <c r="G124" s="38">
        <v>0</v>
      </c>
      <c r="H124" s="39">
        <v>40733</v>
      </c>
      <c r="I124" s="32">
        <f t="shared" si="3"/>
        <v>4.557647896082629E-2</v>
      </c>
    </row>
    <row r="125" spans="1:9" ht="27.75" customHeight="1">
      <c r="A125" s="89"/>
      <c r="B125" s="89"/>
      <c r="C125" s="25" t="s">
        <v>20</v>
      </c>
      <c r="D125" s="38">
        <v>13400</v>
      </c>
      <c r="E125" s="38">
        <v>0</v>
      </c>
      <c r="F125" s="38">
        <v>0</v>
      </c>
      <c r="G125" s="38">
        <v>0</v>
      </c>
      <c r="H125" s="39">
        <v>13400</v>
      </c>
      <c r="I125" s="32">
        <f t="shared" si="3"/>
        <v>1.4993367001572984E-2</v>
      </c>
    </row>
    <row r="126" spans="1:9" ht="28.5" customHeight="1">
      <c r="A126" s="89"/>
      <c r="B126" s="89"/>
      <c r="C126" s="25" t="s">
        <v>21</v>
      </c>
      <c r="D126" s="38">
        <v>407350</v>
      </c>
      <c r="E126" s="38">
        <v>0</v>
      </c>
      <c r="F126" s="38">
        <v>0</v>
      </c>
      <c r="G126" s="38">
        <v>0</v>
      </c>
      <c r="H126" s="39">
        <v>407350</v>
      </c>
      <c r="I126" s="32">
        <f t="shared" si="3"/>
        <v>0.45578716776796679</v>
      </c>
    </row>
    <row r="127" spans="1:9" ht="18" customHeight="1">
      <c r="A127" s="89"/>
      <c r="B127" s="89" t="s">
        <v>118</v>
      </c>
      <c r="C127" s="89"/>
      <c r="D127" s="38">
        <v>8658056</v>
      </c>
      <c r="E127" s="38">
        <v>0</v>
      </c>
      <c r="F127" s="38">
        <v>0</v>
      </c>
      <c r="G127" s="38">
        <v>1858650</v>
      </c>
      <c r="H127" s="39">
        <v>10516706</v>
      </c>
      <c r="I127" s="32">
        <f t="shared" si="3"/>
        <v>11.767226321316761</v>
      </c>
    </row>
    <row r="128" spans="1:9" ht="15" customHeight="1">
      <c r="A128" s="89"/>
      <c r="B128" s="89" t="s">
        <v>119</v>
      </c>
      <c r="C128" s="25" t="s">
        <v>15</v>
      </c>
      <c r="D128" s="38">
        <v>3504908</v>
      </c>
      <c r="E128" s="38">
        <v>25643</v>
      </c>
      <c r="F128" s="38">
        <v>0</v>
      </c>
      <c r="G128" s="38">
        <v>11060953</v>
      </c>
      <c r="H128" s="39">
        <v>14591504</v>
      </c>
      <c r="I128" s="32">
        <f t="shared" si="3"/>
        <v>16.326550341561209</v>
      </c>
    </row>
    <row r="129" spans="1:9" ht="15" customHeight="1">
      <c r="A129" s="89"/>
      <c r="B129" s="89"/>
      <c r="C129" s="25" t="s">
        <v>16</v>
      </c>
      <c r="D129" s="38">
        <v>2041501</v>
      </c>
      <c r="E129" s="38">
        <v>155910</v>
      </c>
      <c r="F129" s="38">
        <v>0</v>
      </c>
      <c r="G129" s="38">
        <v>199895</v>
      </c>
      <c r="H129" s="39">
        <v>2397306</v>
      </c>
      <c r="I129" s="32">
        <f t="shared" si="3"/>
        <v>2.6823648263487256</v>
      </c>
    </row>
    <row r="130" spans="1:9" ht="15" customHeight="1">
      <c r="A130" s="89"/>
      <c r="B130" s="89"/>
      <c r="C130" s="25" t="s">
        <v>17</v>
      </c>
      <c r="D130" s="38">
        <v>17512</v>
      </c>
      <c r="E130" s="38">
        <v>0</v>
      </c>
      <c r="F130" s="38">
        <v>0</v>
      </c>
      <c r="G130" s="38">
        <v>0</v>
      </c>
      <c r="H130" s="39">
        <v>17512</v>
      </c>
      <c r="I130" s="32">
        <f t="shared" si="3"/>
        <v>1.9594316636682544E-2</v>
      </c>
    </row>
    <row r="131" spans="1:9" ht="15" customHeight="1">
      <c r="A131" s="89"/>
      <c r="B131" s="89"/>
      <c r="C131" s="25" t="s">
        <v>19</v>
      </c>
      <c r="D131" s="38">
        <f>161526+300000</f>
        <v>461526</v>
      </c>
      <c r="E131" s="38">
        <v>3011617</v>
      </c>
      <c r="F131" s="38">
        <v>0</v>
      </c>
      <c r="G131" s="38">
        <v>185460</v>
      </c>
      <c r="H131" s="39">
        <f>D131+E131+F131+G131</f>
        <v>3658603</v>
      </c>
      <c r="I131" s="32">
        <f t="shared" si="3"/>
        <v>4.0936401113474572</v>
      </c>
    </row>
    <row r="132" spans="1:9" ht="26.25" customHeight="1">
      <c r="A132" s="89"/>
      <c r="B132" s="89"/>
      <c r="C132" s="25" t="s">
        <v>20</v>
      </c>
      <c r="D132" s="38">
        <v>0</v>
      </c>
      <c r="E132" s="38">
        <v>800</v>
      </c>
      <c r="F132" s="38">
        <v>0</v>
      </c>
      <c r="G132" s="38">
        <v>1200</v>
      </c>
      <c r="H132" s="39">
        <v>2000</v>
      </c>
      <c r="I132" s="32">
        <f t="shared" si="3"/>
        <v>2.2378159703840272E-3</v>
      </c>
    </row>
    <row r="133" spans="1:9" ht="15" customHeight="1">
      <c r="A133" s="89"/>
      <c r="B133" s="89"/>
      <c r="C133" s="25" t="s">
        <v>21</v>
      </c>
      <c r="D133" s="38">
        <v>801200</v>
      </c>
      <c r="E133" s="38">
        <v>30775</v>
      </c>
      <c r="F133" s="38">
        <v>0</v>
      </c>
      <c r="G133" s="38">
        <v>0</v>
      </c>
      <c r="H133" s="39">
        <v>831975</v>
      </c>
      <c r="I133" s="32">
        <f t="shared" si="3"/>
        <v>0.9309034709801256</v>
      </c>
    </row>
    <row r="134" spans="1:9" ht="15" customHeight="1">
      <c r="A134" s="89"/>
      <c r="B134" s="89"/>
      <c r="C134" s="25" t="s">
        <v>22</v>
      </c>
      <c r="D134" s="38">
        <v>0</v>
      </c>
      <c r="E134" s="38">
        <v>1057</v>
      </c>
      <c r="F134" s="38">
        <v>0</v>
      </c>
      <c r="G134" s="38">
        <v>0</v>
      </c>
      <c r="H134" s="39">
        <v>1057</v>
      </c>
      <c r="I134" s="32">
        <f t="shared" si="3"/>
        <v>1.1826857403479584E-3</v>
      </c>
    </row>
    <row r="135" spans="1:9" ht="27" customHeight="1">
      <c r="A135" s="89"/>
      <c r="B135" s="89" t="s">
        <v>120</v>
      </c>
      <c r="C135" s="89"/>
      <c r="D135" s="38">
        <f>D128+D129+D130+D131+D132+D133+D134</f>
        <v>6826647</v>
      </c>
      <c r="E135" s="38">
        <f>E128+E129+E130+E131+E132+E133+E134</f>
        <v>3225802</v>
      </c>
      <c r="F135" s="38">
        <f>F128+F129+F130+F131+F132+F133+F134</f>
        <v>0</v>
      </c>
      <c r="G135" s="38">
        <f>G128+G129+G130+G131+G132+G133+G134</f>
        <v>11447508</v>
      </c>
      <c r="H135" s="38">
        <f>H128+H129+H130+H131+H132+H133+H134</f>
        <v>21499957</v>
      </c>
      <c r="I135" s="32">
        <f t="shared" si="3"/>
        <v>24.056473568584931</v>
      </c>
    </row>
    <row r="136" spans="1:9" ht="15" customHeight="1">
      <c r="A136" s="89"/>
      <c r="B136" s="89" t="s">
        <v>121</v>
      </c>
      <c r="C136" s="25" t="s">
        <v>15</v>
      </c>
      <c r="D136" s="38">
        <v>253947</v>
      </c>
      <c r="E136" s="38">
        <v>1544</v>
      </c>
      <c r="F136" s="38">
        <v>0</v>
      </c>
      <c r="G136" s="38">
        <v>269649</v>
      </c>
      <c r="H136" s="39">
        <v>525140</v>
      </c>
      <c r="I136" s="32">
        <f t="shared" si="3"/>
        <v>0.58758333934373408</v>
      </c>
    </row>
    <row r="137" spans="1:9" ht="15" customHeight="1">
      <c r="A137" s="89"/>
      <c r="B137" s="89"/>
      <c r="C137" s="25" t="s">
        <v>16</v>
      </c>
      <c r="D137" s="38">
        <v>207525</v>
      </c>
      <c r="E137" s="38">
        <v>4372</v>
      </c>
      <c r="F137" s="38">
        <v>0</v>
      </c>
      <c r="G137" s="38">
        <v>0</v>
      </c>
      <c r="H137" s="39">
        <v>211897</v>
      </c>
      <c r="I137" s="32">
        <f t="shared" si="3"/>
        <v>0.23709324533823212</v>
      </c>
    </row>
    <row r="138" spans="1:9" ht="15" customHeight="1">
      <c r="A138" s="89"/>
      <c r="B138" s="89"/>
      <c r="C138" s="25" t="s">
        <v>19</v>
      </c>
      <c r="D138" s="38">
        <v>2010</v>
      </c>
      <c r="E138" s="38">
        <v>0</v>
      </c>
      <c r="F138" s="38">
        <v>0</v>
      </c>
      <c r="G138" s="38">
        <v>0</v>
      </c>
      <c r="H138" s="39">
        <v>2010</v>
      </c>
      <c r="I138" s="32">
        <f t="shared" si="3"/>
        <v>2.2490050502359474E-3</v>
      </c>
    </row>
    <row r="139" spans="1:9" ht="24.75" customHeight="1">
      <c r="A139" s="89"/>
      <c r="B139" s="89"/>
      <c r="C139" s="25" t="s">
        <v>20</v>
      </c>
      <c r="D139" s="38">
        <v>52000</v>
      </c>
      <c r="E139" s="38">
        <v>0</v>
      </c>
      <c r="F139" s="38">
        <v>0</v>
      </c>
      <c r="G139" s="38">
        <v>0</v>
      </c>
      <c r="H139" s="39">
        <v>52000</v>
      </c>
      <c r="I139" s="32">
        <f t="shared" si="3"/>
        <v>5.8183215229984708E-2</v>
      </c>
    </row>
    <row r="140" spans="1:9" ht="21" customHeight="1">
      <c r="A140" s="89"/>
      <c r="B140" s="89" t="s">
        <v>122</v>
      </c>
      <c r="C140" s="89"/>
      <c r="D140" s="38">
        <v>515482</v>
      </c>
      <c r="E140" s="38">
        <v>5916</v>
      </c>
      <c r="F140" s="38">
        <v>0</v>
      </c>
      <c r="G140" s="38">
        <v>269649</v>
      </c>
      <c r="H140" s="39">
        <v>791047</v>
      </c>
      <c r="I140" s="32">
        <f t="shared" si="3"/>
        <v>0.8851088049621868</v>
      </c>
    </row>
    <row r="141" spans="1:9" ht="25.5" customHeight="1">
      <c r="A141" s="89"/>
      <c r="B141" s="92" t="s">
        <v>123</v>
      </c>
      <c r="C141" s="93"/>
      <c r="D141" s="38">
        <v>7042129</v>
      </c>
      <c r="E141" s="38">
        <v>3231718</v>
      </c>
      <c r="F141" s="38">
        <v>0</v>
      </c>
      <c r="G141" s="38">
        <v>11717157</v>
      </c>
      <c r="H141" s="39">
        <v>21991004</v>
      </c>
      <c r="I141" s="32">
        <f t="shared" si="3"/>
        <v>24.605909977989512</v>
      </c>
    </row>
    <row r="142" spans="1:9" ht="15" customHeight="1">
      <c r="A142" s="89"/>
      <c r="B142" s="89" t="s">
        <v>124</v>
      </c>
      <c r="C142" s="25" t="s">
        <v>15</v>
      </c>
      <c r="D142" s="38">
        <v>668067</v>
      </c>
      <c r="E142" s="38">
        <v>0</v>
      </c>
      <c r="F142" s="38">
        <v>0</v>
      </c>
      <c r="G142" s="38">
        <v>1573477</v>
      </c>
      <c r="H142" s="39">
        <v>2241544</v>
      </c>
      <c r="I142" s="32">
        <f t="shared" si="3"/>
        <v>2.5080814807592473</v>
      </c>
    </row>
    <row r="143" spans="1:9" ht="15" customHeight="1">
      <c r="A143" s="89"/>
      <c r="B143" s="89"/>
      <c r="C143" s="25" t="s">
        <v>16</v>
      </c>
      <c r="D143" s="38">
        <v>260203</v>
      </c>
      <c r="E143" s="38">
        <v>0</v>
      </c>
      <c r="F143" s="38">
        <v>0</v>
      </c>
      <c r="G143" s="38">
        <v>0</v>
      </c>
      <c r="H143" s="39">
        <v>260203</v>
      </c>
      <c r="I143" s="32">
        <f t="shared" si="3"/>
        <v>0.29114321447091751</v>
      </c>
    </row>
    <row r="144" spans="1:9" ht="15" customHeight="1">
      <c r="A144" s="89"/>
      <c r="B144" s="89"/>
      <c r="C144" s="25" t="s">
        <v>19</v>
      </c>
      <c r="D144" s="38">
        <v>18381</v>
      </c>
      <c r="E144" s="38">
        <v>0</v>
      </c>
      <c r="F144" s="38">
        <v>0</v>
      </c>
      <c r="G144" s="38">
        <v>0</v>
      </c>
      <c r="H144" s="39">
        <v>18381</v>
      </c>
      <c r="I144" s="32">
        <f t="shared" si="3"/>
        <v>2.0566647675814405E-2</v>
      </c>
    </row>
    <row r="145" spans="1:9" ht="24" customHeight="1">
      <c r="A145" s="89"/>
      <c r="B145" s="89"/>
      <c r="C145" s="25" t="s">
        <v>20</v>
      </c>
      <c r="D145" s="38">
        <v>3000</v>
      </c>
      <c r="E145" s="38">
        <v>0</v>
      </c>
      <c r="F145" s="38">
        <v>0</v>
      </c>
      <c r="G145" s="38">
        <v>0</v>
      </c>
      <c r="H145" s="39">
        <v>3000</v>
      </c>
      <c r="I145" s="32">
        <f t="shared" si="3"/>
        <v>3.3567239555760409E-3</v>
      </c>
    </row>
    <row r="146" spans="1:9" ht="15" customHeight="1">
      <c r="A146" s="89"/>
      <c r="B146" s="89" t="s">
        <v>125</v>
      </c>
      <c r="C146" s="89"/>
      <c r="D146" s="38">
        <v>949651</v>
      </c>
      <c r="E146" s="38">
        <v>0</v>
      </c>
      <c r="F146" s="38">
        <v>0</v>
      </c>
      <c r="G146" s="38">
        <v>1573477</v>
      </c>
      <c r="H146" s="39">
        <v>2523128</v>
      </c>
      <c r="I146" s="32">
        <f t="shared" si="3"/>
        <v>2.8231480668615552</v>
      </c>
    </row>
    <row r="147" spans="1:9" ht="15" customHeight="1">
      <c r="A147" s="89"/>
      <c r="B147" s="89" t="s">
        <v>126</v>
      </c>
      <c r="C147" s="25" t="s">
        <v>15</v>
      </c>
      <c r="D147" s="38">
        <v>82486</v>
      </c>
      <c r="E147" s="38">
        <v>0</v>
      </c>
      <c r="F147" s="38">
        <v>0</v>
      </c>
      <c r="G147" s="38">
        <v>0</v>
      </c>
      <c r="H147" s="39">
        <v>82486</v>
      </c>
      <c r="I147" s="32">
        <f t="shared" si="3"/>
        <v>9.2294244066548445E-2</v>
      </c>
    </row>
    <row r="148" spans="1:9" ht="15" customHeight="1">
      <c r="A148" s="89"/>
      <c r="B148" s="89"/>
      <c r="C148" s="25" t="s">
        <v>16</v>
      </c>
      <c r="D148" s="38">
        <v>20386</v>
      </c>
      <c r="E148" s="38">
        <v>0</v>
      </c>
      <c r="F148" s="38">
        <v>0</v>
      </c>
      <c r="G148" s="38">
        <v>0</v>
      </c>
      <c r="H148" s="39">
        <v>20386</v>
      </c>
      <c r="I148" s="32">
        <f t="shared" si="3"/>
        <v>2.2810058186124391E-2</v>
      </c>
    </row>
    <row r="149" spans="1:9" ht="15" customHeight="1">
      <c r="A149" s="89"/>
      <c r="B149" s="89" t="s">
        <v>127</v>
      </c>
      <c r="C149" s="89"/>
      <c r="D149" s="38">
        <v>102872</v>
      </c>
      <c r="E149" s="38">
        <v>0</v>
      </c>
      <c r="F149" s="38">
        <v>0</v>
      </c>
      <c r="G149" s="38">
        <v>0</v>
      </c>
      <c r="H149" s="39">
        <v>102872</v>
      </c>
      <c r="I149" s="32">
        <f t="shared" si="3"/>
        <v>0.11510430225267283</v>
      </c>
    </row>
    <row r="150" spans="1:9" ht="15" customHeight="1">
      <c r="A150" s="89"/>
      <c r="B150" s="92" t="s">
        <v>128</v>
      </c>
      <c r="C150" s="93"/>
      <c r="D150" s="38">
        <v>1052523</v>
      </c>
      <c r="E150" s="38">
        <v>0</v>
      </c>
      <c r="F150" s="38">
        <v>0</v>
      </c>
      <c r="G150" s="38">
        <v>1573477</v>
      </c>
      <c r="H150" s="39">
        <v>2626000</v>
      </c>
      <c r="I150" s="32">
        <f t="shared" ref="I150:I194" si="4">H150*100/$H$194</f>
        <v>2.9382523691142279</v>
      </c>
    </row>
    <row r="151" spans="1:9" ht="15" customHeight="1">
      <c r="A151" s="89"/>
      <c r="B151" s="89" t="s">
        <v>129</v>
      </c>
      <c r="C151" s="25" t="s">
        <v>15</v>
      </c>
      <c r="D151" s="38">
        <v>282599</v>
      </c>
      <c r="E151" s="38">
        <v>161265</v>
      </c>
      <c r="F151" s="38">
        <v>0</v>
      </c>
      <c r="G151" s="38">
        <v>0</v>
      </c>
      <c r="H151" s="39">
        <v>443864</v>
      </c>
      <c r="I151" s="32">
        <f t="shared" si="4"/>
        <v>0.49664297393926798</v>
      </c>
    </row>
    <row r="152" spans="1:9" ht="15" customHeight="1">
      <c r="A152" s="89"/>
      <c r="B152" s="89"/>
      <c r="C152" s="25" t="s">
        <v>16</v>
      </c>
      <c r="D152" s="38">
        <v>1400560</v>
      </c>
      <c r="E152" s="38">
        <v>368516</v>
      </c>
      <c r="F152" s="38">
        <v>0</v>
      </c>
      <c r="G152" s="38">
        <v>474114</v>
      </c>
      <c r="H152" s="39">
        <v>2243190</v>
      </c>
      <c r="I152" s="32">
        <f t="shared" si="4"/>
        <v>2.5099232033028733</v>
      </c>
    </row>
    <row r="153" spans="1:9" ht="15" customHeight="1">
      <c r="A153" s="89"/>
      <c r="B153" s="89"/>
      <c r="C153" s="25" t="s">
        <v>17</v>
      </c>
      <c r="D153" s="38">
        <v>158497</v>
      </c>
      <c r="E153" s="38">
        <v>0</v>
      </c>
      <c r="F153" s="38">
        <v>0</v>
      </c>
      <c r="G153" s="38">
        <v>0</v>
      </c>
      <c r="H153" s="39">
        <v>158497</v>
      </c>
      <c r="I153" s="32">
        <f t="shared" si="4"/>
        <v>0.1773435589289786</v>
      </c>
    </row>
    <row r="154" spans="1:9" ht="15" customHeight="1">
      <c r="A154" s="89"/>
      <c r="B154" s="89"/>
      <c r="C154" s="25" t="s">
        <v>19</v>
      </c>
      <c r="D154" s="38">
        <v>861</v>
      </c>
      <c r="E154" s="38">
        <v>1750461</v>
      </c>
      <c r="F154" s="38">
        <v>0</v>
      </c>
      <c r="G154" s="38">
        <v>0</v>
      </c>
      <c r="H154" s="39">
        <v>1751322</v>
      </c>
      <c r="I154" s="32">
        <f t="shared" si="4"/>
        <v>1.9595681704424477</v>
      </c>
    </row>
    <row r="155" spans="1:9" ht="27" customHeight="1">
      <c r="A155" s="89"/>
      <c r="B155" s="89"/>
      <c r="C155" s="25" t="s">
        <v>20</v>
      </c>
      <c r="D155" s="38">
        <v>129366</v>
      </c>
      <c r="E155" s="38">
        <v>0</v>
      </c>
      <c r="F155" s="38">
        <v>0</v>
      </c>
      <c r="G155" s="38">
        <v>0</v>
      </c>
      <c r="H155" s="39">
        <v>129366</v>
      </c>
      <c r="I155" s="32">
        <f t="shared" si="4"/>
        <v>0.14474865041235005</v>
      </c>
    </row>
    <row r="156" spans="1:9" ht="15" customHeight="1">
      <c r="A156" s="89"/>
      <c r="B156" s="89" t="s">
        <v>130</v>
      </c>
      <c r="C156" s="89"/>
      <c r="D156" s="38">
        <v>1971883</v>
      </c>
      <c r="E156" s="38">
        <v>2280242</v>
      </c>
      <c r="F156" s="38">
        <v>0</v>
      </c>
      <c r="G156" s="38">
        <v>474114</v>
      </c>
      <c r="H156" s="39">
        <v>4726239</v>
      </c>
      <c r="I156" s="32">
        <f t="shared" si="4"/>
        <v>5.2882265570259177</v>
      </c>
    </row>
    <row r="157" spans="1:9" ht="15" customHeight="1">
      <c r="A157" s="89"/>
      <c r="B157" s="89" t="s">
        <v>131</v>
      </c>
      <c r="C157" s="25" t="s">
        <v>15</v>
      </c>
      <c r="D157" s="38">
        <v>533959</v>
      </c>
      <c r="E157" s="38">
        <v>0</v>
      </c>
      <c r="F157" s="38">
        <v>0</v>
      </c>
      <c r="G157" s="38">
        <v>0</v>
      </c>
      <c r="H157" s="39">
        <v>533959</v>
      </c>
      <c r="I157" s="32">
        <f t="shared" si="4"/>
        <v>0.59745098886514247</v>
      </c>
    </row>
    <row r="158" spans="1:9" ht="15" customHeight="1">
      <c r="A158" s="89"/>
      <c r="B158" s="89"/>
      <c r="C158" s="25" t="s">
        <v>16</v>
      </c>
      <c r="D158" s="38">
        <v>141255</v>
      </c>
      <c r="E158" s="38">
        <v>0</v>
      </c>
      <c r="F158" s="38">
        <v>0</v>
      </c>
      <c r="G158" s="38">
        <v>71561</v>
      </c>
      <c r="H158" s="39">
        <v>212816</v>
      </c>
      <c r="I158" s="32">
        <f t="shared" si="4"/>
        <v>0.23812152177662357</v>
      </c>
    </row>
    <row r="159" spans="1:9" ht="15" customHeight="1">
      <c r="A159" s="89"/>
      <c r="B159" s="89"/>
      <c r="C159" s="25" t="s">
        <v>19</v>
      </c>
      <c r="D159" s="38">
        <v>0</v>
      </c>
      <c r="E159" s="38">
        <v>0</v>
      </c>
      <c r="F159" s="38">
        <v>0</v>
      </c>
      <c r="G159" s="38">
        <v>0</v>
      </c>
      <c r="H159" s="39">
        <v>0</v>
      </c>
      <c r="I159" s="32">
        <f t="shared" si="4"/>
        <v>0</v>
      </c>
    </row>
    <row r="160" spans="1:9" ht="24.75" customHeight="1">
      <c r="A160" s="89"/>
      <c r="B160" s="89"/>
      <c r="C160" s="25" t="s">
        <v>20</v>
      </c>
      <c r="D160" s="38">
        <v>38700</v>
      </c>
      <c r="E160" s="38">
        <v>0</v>
      </c>
      <c r="F160" s="38">
        <v>0</v>
      </c>
      <c r="G160" s="38">
        <v>0</v>
      </c>
      <c r="H160" s="39">
        <v>38700</v>
      </c>
      <c r="I160" s="32">
        <f t="shared" si="4"/>
        <v>4.3301739026930929E-2</v>
      </c>
    </row>
    <row r="161" spans="1:9" ht="15" customHeight="1">
      <c r="A161" s="89"/>
      <c r="B161" s="89" t="s">
        <v>132</v>
      </c>
      <c r="C161" s="89"/>
      <c r="D161" s="38">
        <v>713914</v>
      </c>
      <c r="E161" s="38">
        <v>0</v>
      </c>
      <c r="F161" s="38">
        <v>0</v>
      </c>
      <c r="G161" s="38">
        <v>71561</v>
      </c>
      <c r="H161" s="39">
        <v>785475</v>
      </c>
      <c r="I161" s="32">
        <f t="shared" si="4"/>
        <v>0.87887424966869698</v>
      </c>
    </row>
    <row r="162" spans="1:9" s="3" customFormat="1" ht="15" customHeight="1">
      <c r="A162" s="90" t="s">
        <v>133</v>
      </c>
      <c r="B162" s="90"/>
      <c r="C162" s="90"/>
      <c r="D162" s="40">
        <f>19438505+300000</f>
        <v>19738505</v>
      </c>
      <c r="E162" s="40">
        <v>5511960</v>
      </c>
      <c r="F162" s="40">
        <v>0</v>
      </c>
      <c r="G162" s="40">
        <v>15694959</v>
      </c>
      <c r="H162" s="41">
        <f>40645424+300000</f>
        <v>40945424</v>
      </c>
      <c r="I162" s="30">
        <f t="shared" si="4"/>
        <v>45.81416187067272</v>
      </c>
    </row>
    <row r="163" spans="1:9" ht="15" customHeight="1">
      <c r="A163" s="89" t="s">
        <v>45</v>
      </c>
      <c r="B163" s="89" t="s">
        <v>134</v>
      </c>
      <c r="C163" s="25" t="s">
        <v>15</v>
      </c>
      <c r="D163" s="38">
        <v>665544</v>
      </c>
      <c r="E163" s="38">
        <v>0</v>
      </c>
      <c r="F163" s="38">
        <v>0</v>
      </c>
      <c r="G163" s="38">
        <v>673607</v>
      </c>
      <c r="H163" s="39">
        <v>1339151</v>
      </c>
      <c r="I163" s="32">
        <f t="shared" si="4"/>
        <v>1.4983867472778702</v>
      </c>
    </row>
    <row r="164" spans="1:9" ht="15" customHeight="1">
      <c r="A164" s="89"/>
      <c r="B164" s="89"/>
      <c r="C164" s="25" t="s">
        <v>16</v>
      </c>
      <c r="D164" s="38">
        <v>138920</v>
      </c>
      <c r="E164" s="38">
        <v>13249</v>
      </c>
      <c r="F164" s="38">
        <v>0</v>
      </c>
      <c r="G164" s="38">
        <v>22184</v>
      </c>
      <c r="H164" s="39">
        <v>174353</v>
      </c>
      <c r="I164" s="32">
        <f t="shared" si="4"/>
        <v>0.19508496394218316</v>
      </c>
    </row>
    <row r="165" spans="1:9" ht="15" customHeight="1">
      <c r="A165" s="89"/>
      <c r="B165" s="89"/>
      <c r="C165" s="25" t="s">
        <v>19</v>
      </c>
      <c r="D165" s="38">
        <v>4800</v>
      </c>
      <c r="E165" s="38">
        <v>0</v>
      </c>
      <c r="F165" s="38">
        <v>0</v>
      </c>
      <c r="G165" s="38">
        <v>10000</v>
      </c>
      <c r="H165" s="39">
        <v>14800</v>
      </c>
      <c r="I165" s="32">
        <f t="shared" si="4"/>
        <v>1.6559838180841804E-2</v>
      </c>
    </row>
    <row r="166" spans="1:9" ht="27" customHeight="1">
      <c r="A166" s="89"/>
      <c r="B166" s="89"/>
      <c r="C166" s="25" t="s">
        <v>20</v>
      </c>
      <c r="D166" s="38">
        <v>178710</v>
      </c>
      <c r="E166" s="38">
        <v>124203</v>
      </c>
      <c r="F166" s="38">
        <v>0</v>
      </c>
      <c r="G166" s="38">
        <v>36120</v>
      </c>
      <c r="H166" s="39">
        <v>339033</v>
      </c>
      <c r="I166" s="32">
        <f t="shared" si="4"/>
        <v>0.37934673094360399</v>
      </c>
    </row>
    <row r="167" spans="1:9" ht="26.25" customHeight="1">
      <c r="A167" s="89"/>
      <c r="B167" s="89"/>
      <c r="C167" s="25" t="s">
        <v>21</v>
      </c>
      <c r="D167" s="38">
        <v>0</v>
      </c>
      <c r="E167" s="38">
        <v>5440</v>
      </c>
      <c r="F167" s="38">
        <v>0</v>
      </c>
      <c r="G167" s="38">
        <v>0</v>
      </c>
      <c r="H167" s="39">
        <v>5440</v>
      </c>
      <c r="I167" s="32">
        <f t="shared" si="4"/>
        <v>6.0868594394445545E-3</v>
      </c>
    </row>
    <row r="168" spans="1:9" ht="15" customHeight="1">
      <c r="A168" s="89"/>
      <c r="B168" s="89" t="s">
        <v>135</v>
      </c>
      <c r="C168" s="89"/>
      <c r="D168" s="38">
        <v>987974</v>
      </c>
      <c r="E168" s="38">
        <v>142892</v>
      </c>
      <c r="F168" s="38">
        <v>0</v>
      </c>
      <c r="G168" s="38">
        <v>741911</v>
      </c>
      <c r="H168" s="39">
        <v>1872777</v>
      </c>
      <c r="I168" s="32">
        <f t="shared" si="4"/>
        <v>2.0954651397839439</v>
      </c>
    </row>
    <row r="169" spans="1:9" ht="15" customHeight="1">
      <c r="A169" s="89"/>
      <c r="B169" s="89" t="s">
        <v>136</v>
      </c>
      <c r="C169" s="25" t="s">
        <v>15</v>
      </c>
      <c r="D169" s="38">
        <v>3054552</v>
      </c>
      <c r="E169" s="38">
        <v>0</v>
      </c>
      <c r="F169" s="38">
        <v>0</v>
      </c>
      <c r="G169" s="38">
        <v>0</v>
      </c>
      <c r="H169" s="39">
        <v>3054552</v>
      </c>
      <c r="I169" s="32">
        <f t="shared" si="4"/>
        <v>3.4177626239842356</v>
      </c>
    </row>
    <row r="170" spans="1:9" ht="15" customHeight="1">
      <c r="A170" s="89"/>
      <c r="B170" s="89"/>
      <c r="C170" s="25" t="s">
        <v>16</v>
      </c>
      <c r="D170" s="38">
        <v>1828067</v>
      </c>
      <c r="E170" s="38">
        <v>0</v>
      </c>
      <c r="F170" s="38">
        <v>0</v>
      </c>
      <c r="G170" s="38">
        <v>0</v>
      </c>
      <c r="H170" s="39">
        <v>1828067</v>
      </c>
      <c r="I170" s="32">
        <f t="shared" si="4"/>
        <v>2.045438763766009</v>
      </c>
    </row>
    <row r="171" spans="1:9" ht="15" customHeight="1">
      <c r="A171" s="89"/>
      <c r="B171" s="89"/>
      <c r="C171" s="25" t="s">
        <v>17</v>
      </c>
      <c r="D171" s="38">
        <v>16656</v>
      </c>
      <c r="E171" s="38">
        <v>0</v>
      </c>
      <c r="F171" s="38">
        <v>0</v>
      </c>
      <c r="G171" s="38">
        <v>0</v>
      </c>
      <c r="H171" s="39">
        <v>16656</v>
      </c>
      <c r="I171" s="32">
        <f t="shared" si="4"/>
        <v>1.8636531401358181E-2</v>
      </c>
    </row>
    <row r="172" spans="1:9" ht="15" customHeight="1">
      <c r="A172" s="89"/>
      <c r="B172" s="89"/>
      <c r="C172" s="25" t="s">
        <v>19</v>
      </c>
      <c r="D172" s="38">
        <v>378583</v>
      </c>
      <c r="E172" s="38">
        <v>0</v>
      </c>
      <c r="F172" s="38">
        <v>0</v>
      </c>
      <c r="G172" s="38">
        <v>0</v>
      </c>
      <c r="H172" s="39">
        <v>378583</v>
      </c>
      <c r="I172" s="32">
        <f t="shared" si="4"/>
        <v>0.42359954175794812</v>
      </c>
    </row>
    <row r="173" spans="1:9" ht="24.75" customHeight="1">
      <c r="A173" s="89"/>
      <c r="B173" s="89"/>
      <c r="C173" s="25" t="s">
        <v>20</v>
      </c>
      <c r="D173" s="38">
        <v>483534</v>
      </c>
      <c r="E173" s="38">
        <v>0</v>
      </c>
      <c r="F173" s="38">
        <v>0</v>
      </c>
      <c r="G173" s="38">
        <v>0</v>
      </c>
      <c r="H173" s="39">
        <v>483534</v>
      </c>
      <c r="I173" s="32">
        <f t="shared" si="4"/>
        <v>0.5410300537118351</v>
      </c>
    </row>
    <row r="174" spans="1:9" ht="15" customHeight="1">
      <c r="A174" s="89"/>
      <c r="B174" s="89" t="s">
        <v>137</v>
      </c>
      <c r="C174" s="89"/>
      <c r="D174" s="38">
        <v>5761392</v>
      </c>
      <c r="E174" s="38">
        <v>0</v>
      </c>
      <c r="F174" s="38">
        <v>0</v>
      </c>
      <c r="G174" s="38">
        <v>0</v>
      </c>
      <c r="H174" s="39">
        <v>5761392</v>
      </c>
      <c r="I174" s="32">
        <f t="shared" si="4"/>
        <v>6.4464675146213857</v>
      </c>
    </row>
    <row r="175" spans="1:9" ht="27.75" customHeight="1">
      <c r="A175" s="89"/>
      <c r="B175" s="25" t="s">
        <v>138</v>
      </c>
      <c r="C175" s="25" t="s">
        <v>20</v>
      </c>
      <c r="D175" s="38">
        <v>40000</v>
      </c>
      <c r="E175" s="38">
        <v>0</v>
      </c>
      <c r="F175" s="38">
        <v>0</v>
      </c>
      <c r="G175" s="38">
        <v>0</v>
      </c>
      <c r="H175" s="39">
        <v>40000</v>
      </c>
      <c r="I175" s="32">
        <f t="shared" si="4"/>
        <v>4.4756319407680545E-2</v>
      </c>
    </row>
    <row r="176" spans="1:9" ht="15" customHeight="1">
      <c r="A176" s="89"/>
      <c r="B176" s="89" t="s">
        <v>139</v>
      </c>
      <c r="C176" s="25" t="s">
        <v>15</v>
      </c>
      <c r="D176" s="38">
        <v>509576</v>
      </c>
      <c r="E176" s="38">
        <v>13702</v>
      </c>
      <c r="F176" s="38">
        <v>0</v>
      </c>
      <c r="G176" s="38">
        <v>0</v>
      </c>
      <c r="H176" s="39">
        <v>523278</v>
      </c>
      <c r="I176" s="32">
        <f t="shared" si="4"/>
        <v>0.58549993267530653</v>
      </c>
    </row>
    <row r="177" spans="1:9" ht="15" customHeight="1">
      <c r="A177" s="89"/>
      <c r="B177" s="89"/>
      <c r="C177" s="25" t="s">
        <v>16</v>
      </c>
      <c r="D177" s="38">
        <v>81796</v>
      </c>
      <c r="E177" s="38">
        <v>54461</v>
      </c>
      <c r="F177" s="38">
        <v>0</v>
      </c>
      <c r="G177" s="38">
        <v>0</v>
      </c>
      <c r="H177" s="39">
        <v>136257</v>
      </c>
      <c r="I177" s="32">
        <f t="shared" si="4"/>
        <v>0.1524590453383082</v>
      </c>
    </row>
    <row r="178" spans="1:9" ht="15" customHeight="1">
      <c r="A178" s="89"/>
      <c r="B178" s="89"/>
      <c r="C178" s="25" t="s">
        <v>19</v>
      </c>
      <c r="D178" s="38">
        <v>1700</v>
      </c>
      <c r="E178" s="38">
        <v>182829</v>
      </c>
      <c r="F178" s="38">
        <v>0</v>
      </c>
      <c r="G178" s="38">
        <v>0</v>
      </c>
      <c r="H178" s="39">
        <v>184529</v>
      </c>
      <c r="I178" s="32">
        <f t="shared" si="4"/>
        <v>0.20647097159949709</v>
      </c>
    </row>
    <row r="179" spans="1:9" ht="27" customHeight="1">
      <c r="A179" s="89"/>
      <c r="B179" s="89"/>
      <c r="C179" s="25" t="s">
        <v>20</v>
      </c>
      <c r="D179" s="38">
        <v>756086</v>
      </c>
      <c r="E179" s="38">
        <v>0</v>
      </c>
      <c r="F179" s="38">
        <v>0</v>
      </c>
      <c r="G179" s="38">
        <v>0</v>
      </c>
      <c r="H179" s="39">
        <v>756086</v>
      </c>
      <c r="I179" s="32">
        <f t="shared" si="4"/>
        <v>0.84599066289188884</v>
      </c>
    </row>
    <row r="180" spans="1:9" ht="15" customHeight="1">
      <c r="A180" s="89"/>
      <c r="B180" s="89" t="s">
        <v>140</v>
      </c>
      <c r="C180" s="89"/>
      <c r="D180" s="38">
        <v>1349158</v>
      </c>
      <c r="E180" s="38">
        <v>250992</v>
      </c>
      <c r="F180" s="38">
        <v>0</v>
      </c>
      <c r="G180" s="38">
        <v>0</v>
      </c>
      <c r="H180" s="39">
        <v>1600150</v>
      </c>
      <c r="I180" s="32">
        <f t="shared" si="4"/>
        <v>1.7904206125050006</v>
      </c>
    </row>
    <row r="181" spans="1:9" ht="25.5" customHeight="1">
      <c r="A181" s="89"/>
      <c r="B181" s="25" t="s">
        <v>141</v>
      </c>
      <c r="C181" s="25" t="s">
        <v>20</v>
      </c>
      <c r="D181" s="38">
        <v>86368</v>
      </c>
      <c r="E181" s="38">
        <v>0</v>
      </c>
      <c r="F181" s="38">
        <v>0</v>
      </c>
      <c r="G181" s="38">
        <v>0</v>
      </c>
      <c r="H181" s="39">
        <v>86368</v>
      </c>
      <c r="I181" s="32">
        <f t="shared" si="4"/>
        <v>9.6637844865063841E-2</v>
      </c>
    </row>
    <row r="182" spans="1:9" ht="15" customHeight="1">
      <c r="A182" s="89"/>
      <c r="B182" s="89" t="s">
        <v>142</v>
      </c>
      <c r="C182" s="25" t="s">
        <v>15</v>
      </c>
      <c r="D182" s="38">
        <v>442699</v>
      </c>
      <c r="E182" s="38">
        <v>0</v>
      </c>
      <c r="F182" s="38">
        <v>0</v>
      </c>
      <c r="G182" s="38">
        <v>128</v>
      </c>
      <c r="H182" s="39">
        <v>442827</v>
      </c>
      <c r="I182" s="32">
        <f t="shared" si="4"/>
        <v>0.49548266635862381</v>
      </c>
    </row>
    <row r="183" spans="1:9" ht="15" customHeight="1">
      <c r="A183" s="89"/>
      <c r="B183" s="89"/>
      <c r="C183" s="25" t="s">
        <v>16</v>
      </c>
      <c r="D183" s="38">
        <v>209943</v>
      </c>
      <c r="E183" s="38">
        <v>0</v>
      </c>
      <c r="F183" s="38">
        <v>0</v>
      </c>
      <c r="G183" s="38">
        <v>0</v>
      </c>
      <c r="H183" s="39">
        <v>209943</v>
      </c>
      <c r="I183" s="32">
        <f t="shared" si="4"/>
        <v>0.23490689913516694</v>
      </c>
    </row>
    <row r="184" spans="1:9" ht="15" customHeight="1">
      <c r="A184" s="89"/>
      <c r="B184" s="89"/>
      <c r="C184" s="25" t="s">
        <v>19</v>
      </c>
      <c r="D184" s="38">
        <v>11270</v>
      </c>
      <c r="E184" s="38">
        <v>0</v>
      </c>
      <c r="F184" s="38">
        <v>0</v>
      </c>
      <c r="G184" s="38">
        <v>0</v>
      </c>
      <c r="H184" s="39">
        <v>11270</v>
      </c>
      <c r="I184" s="32">
        <f t="shared" si="4"/>
        <v>1.2610092993113994E-2</v>
      </c>
    </row>
    <row r="185" spans="1:9" ht="24.75" customHeight="1">
      <c r="A185" s="89"/>
      <c r="B185" s="89"/>
      <c r="C185" s="25" t="s">
        <v>20</v>
      </c>
      <c r="D185" s="38">
        <v>182847</v>
      </c>
      <c r="E185" s="38">
        <v>0</v>
      </c>
      <c r="F185" s="38">
        <v>0</v>
      </c>
      <c r="G185" s="38">
        <v>0</v>
      </c>
      <c r="H185" s="39">
        <v>182847</v>
      </c>
      <c r="I185" s="32">
        <f t="shared" si="4"/>
        <v>0.20458896836840412</v>
      </c>
    </row>
    <row r="186" spans="1:9" ht="15" customHeight="1">
      <c r="A186" s="89"/>
      <c r="B186" s="89" t="s">
        <v>143</v>
      </c>
      <c r="C186" s="89"/>
      <c r="D186" s="38">
        <v>846759</v>
      </c>
      <c r="E186" s="38">
        <v>0</v>
      </c>
      <c r="F186" s="38">
        <v>0</v>
      </c>
      <c r="G186" s="38">
        <v>128</v>
      </c>
      <c r="H186" s="39">
        <v>846887</v>
      </c>
      <c r="I186" s="32">
        <f t="shared" si="4"/>
        <v>0.94758862685530887</v>
      </c>
    </row>
    <row r="187" spans="1:9" ht="15" customHeight="1">
      <c r="A187" s="89"/>
      <c r="B187" s="89" t="s">
        <v>144</v>
      </c>
      <c r="C187" s="25" t="s">
        <v>15</v>
      </c>
      <c r="D187" s="38">
        <v>1115497</v>
      </c>
      <c r="E187" s="38">
        <v>17016</v>
      </c>
      <c r="F187" s="38">
        <v>0</v>
      </c>
      <c r="G187" s="38">
        <v>14129</v>
      </c>
      <c r="H187" s="39">
        <v>1146642</v>
      </c>
      <c r="I187" s="32">
        <f t="shared" si="4"/>
        <v>1.2829868899565409</v>
      </c>
    </row>
    <row r="188" spans="1:9" ht="15" customHeight="1">
      <c r="A188" s="89"/>
      <c r="B188" s="89"/>
      <c r="C188" s="25" t="s">
        <v>16</v>
      </c>
      <c r="D188" s="38">
        <v>45714</v>
      </c>
      <c r="E188" s="38">
        <v>106608</v>
      </c>
      <c r="F188" s="38">
        <v>0</v>
      </c>
      <c r="G188" s="38">
        <v>26606</v>
      </c>
      <c r="H188" s="39">
        <v>178928</v>
      </c>
      <c r="I188" s="32">
        <f t="shared" si="4"/>
        <v>0.20020396797443663</v>
      </c>
    </row>
    <row r="189" spans="1:9" ht="15" customHeight="1">
      <c r="A189" s="89"/>
      <c r="B189" s="89"/>
      <c r="C189" s="25" t="s">
        <v>17</v>
      </c>
      <c r="D189" s="38">
        <v>0</v>
      </c>
      <c r="E189" s="38">
        <v>0</v>
      </c>
      <c r="F189" s="38">
        <v>0</v>
      </c>
      <c r="G189" s="38">
        <v>7874</v>
      </c>
      <c r="H189" s="39">
        <v>7874</v>
      </c>
      <c r="I189" s="32">
        <f t="shared" si="4"/>
        <v>8.8102814754019154E-3</v>
      </c>
    </row>
    <row r="190" spans="1:9" ht="15" customHeight="1">
      <c r="A190" s="89"/>
      <c r="B190" s="89"/>
      <c r="C190" s="25" t="s">
        <v>19</v>
      </c>
      <c r="D190" s="38">
        <v>1350</v>
      </c>
      <c r="E190" s="38">
        <v>0</v>
      </c>
      <c r="F190" s="38">
        <v>0</v>
      </c>
      <c r="G190" s="38">
        <v>0</v>
      </c>
      <c r="H190" s="39">
        <v>1350</v>
      </c>
      <c r="I190" s="32">
        <f t="shared" si="4"/>
        <v>1.5105257800092184E-3</v>
      </c>
    </row>
    <row r="191" spans="1:9" ht="23.25" customHeight="1">
      <c r="A191" s="89"/>
      <c r="B191" s="89"/>
      <c r="C191" s="25" t="s">
        <v>20</v>
      </c>
      <c r="D191" s="38">
        <v>108640</v>
      </c>
      <c r="E191" s="38">
        <v>1200</v>
      </c>
      <c r="F191" s="38">
        <v>0</v>
      </c>
      <c r="G191" s="38">
        <v>0</v>
      </c>
      <c r="H191" s="39">
        <v>109840</v>
      </c>
      <c r="I191" s="32">
        <f t="shared" si="4"/>
        <v>0.12290085309349078</v>
      </c>
    </row>
    <row r="192" spans="1:9" ht="15" customHeight="1">
      <c r="A192" s="89"/>
      <c r="B192" s="89" t="s">
        <v>145</v>
      </c>
      <c r="C192" s="89"/>
      <c r="D192" s="38">
        <v>1271201</v>
      </c>
      <c r="E192" s="38">
        <v>124824</v>
      </c>
      <c r="F192" s="38">
        <v>0</v>
      </c>
      <c r="G192" s="38">
        <v>48609</v>
      </c>
      <c r="H192" s="39">
        <v>1444634</v>
      </c>
      <c r="I192" s="32">
        <f t="shared" si="4"/>
        <v>1.6164125182798794</v>
      </c>
    </row>
    <row r="193" spans="1:9" s="3" customFormat="1" ht="15" customHeight="1">
      <c r="A193" s="90" t="s">
        <v>146</v>
      </c>
      <c r="B193" s="90"/>
      <c r="C193" s="90"/>
      <c r="D193" s="40">
        <v>10342852</v>
      </c>
      <c r="E193" s="40">
        <v>518708</v>
      </c>
      <c r="F193" s="40">
        <v>0</v>
      </c>
      <c r="G193" s="40">
        <v>790648</v>
      </c>
      <c r="H193" s="41">
        <v>11652208</v>
      </c>
      <c r="I193" s="30">
        <f t="shared" si="4"/>
        <v>13.037748576318263</v>
      </c>
    </row>
    <row r="194" spans="1:9" s="24" customFormat="1" ht="15" customHeight="1">
      <c r="A194" s="91" t="s">
        <v>147</v>
      </c>
      <c r="B194" s="91"/>
      <c r="C194" s="91"/>
      <c r="D194" s="42">
        <f>50701454+722500-30000</f>
        <v>51393954</v>
      </c>
      <c r="E194" s="42">
        <f>17939896+30000</f>
        <v>17969896</v>
      </c>
      <c r="F194" s="42">
        <v>1780800</v>
      </c>
      <c r="G194" s="42">
        <v>18228204</v>
      </c>
      <c r="H194" s="43">
        <f>D194+E194+F194+G194</f>
        <v>89372854</v>
      </c>
      <c r="I194" s="44">
        <f t="shared" si="4"/>
        <v>100</v>
      </c>
    </row>
    <row r="196" spans="1:9" ht="15" customHeight="1">
      <c r="A196" s="88" t="s">
        <v>148</v>
      </c>
      <c r="B196" s="88"/>
      <c r="C196" s="88"/>
      <c r="D196" s="88"/>
      <c r="E196" s="88"/>
      <c r="F196" s="88"/>
      <c r="G196" s="88"/>
      <c r="H196" s="88"/>
    </row>
    <row r="197" spans="1:9" ht="15" customHeight="1">
      <c r="A197" s="88"/>
      <c r="B197" s="88"/>
      <c r="C197" s="88"/>
      <c r="D197" s="88"/>
      <c r="E197" s="88"/>
      <c r="F197" s="88"/>
      <c r="G197" s="88"/>
      <c r="H197" s="88"/>
    </row>
  </sheetData>
  <mergeCells count="101">
    <mergeCell ref="I6:I7"/>
    <mergeCell ref="A8:I8"/>
    <mergeCell ref="D6:F6"/>
    <mergeCell ref="G6:G7"/>
    <mergeCell ref="H6:H7"/>
    <mergeCell ref="A10:C10"/>
    <mergeCell ref="A11:C11"/>
    <mergeCell ref="A12:C12"/>
    <mergeCell ref="A13:C13"/>
    <mergeCell ref="A6:C7"/>
    <mergeCell ref="A20:H20"/>
    <mergeCell ref="B65:B67"/>
    <mergeCell ref="B68:C68"/>
    <mergeCell ref="B69:B73"/>
    <mergeCell ref="B74:C74"/>
    <mergeCell ref="A14:C14"/>
    <mergeCell ref="A15:C15"/>
    <mergeCell ref="A16:C16"/>
    <mergeCell ref="A17:C17"/>
    <mergeCell ref="A18:C18"/>
    <mergeCell ref="A19:C19"/>
    <mergeCell ref="A21:A37"/>
    <mergeCell ref="B21:B25"/>
    <mergeCell ref="B26:C26"/>
    <mergeCell ref="B27:B30"/>
    <mergeCell ref="B31:C31"/>
    <mergeCell ref="B32:B33"/>
    <mergeCell ref="B34:C34"/>
    <mergeCell ref="B35:B36"/>
    <mergeCell ref="B37:C37"/>
    <mergeCell ref="A101:C101"/>
    <mergeCell ref="A103:A119"/>
    <mergeCell ref="B103:B106"/>
    <mergeCell ref="B107:C107"/>
    <mergeCell ref="B108:B112"/>
    <mergeCell ref="B113:C113"/>
    <mergeCell ref="B114:B118"/>
    <mergeCell ref="B119:C119"/>
    <mergeCell ref="A38:C38"/>
    <mergeCell ref="A39:A46"/>
    <mergeCell ref="B39:B41"/>
    <mergeCell ref="B42:C42"/>
    <mergeCell ref="B43:B45"/>
    <mergeCell ref="B46:C46"/>
    <mergeCell ref="A47:C47"/>
    <mergeCell ref="A48:A74"/>
    <mergeCell ref="B48:B53"/>
    <mergeCell ref="B54:C54"/>
    <mergeCell ref="B55:B57"/>
    <mergeCell ref="B58:C58"/>
    <mergeCell ref="B59:B60"/>
    <mergeCell ref="B61:C61"/>
    <mergeCell ref="B62:B63"/>
    <mergeCell ref="B64:C64"/>
    <mergeCell ref="A75:C75"/>
    <mergeCell ref="A76:A86"/>
    <mergeCell ref="B77:B79"/>
    <mergeCell ref="B80:C80"/>
    <mergeCell ref="B82:B85"/>
    <mergeCell ref="B86:C86"/>
    <mergeCell ref="A87:C87"/>
    <mergeCell ref="A88:A100"/>
    <mergeCell ref="B88:B89"/>
    <mergeCell ref="B90:C90"/>
    <mergeCell ref="B91:B93"/>
    <mergeCell ref="B94:C94"/>
    <mergeCell ref="B96:B99"/>
    <mergeCell ref="B100:C100"/>
    <mergeCell ref="B141:C141"/>
    <mergeCell ref="B142:B145"/>
    <mergeCell ref="B146:C146"/>
    <mergeCell ref="B147:B148"/>
    <mergeCell ref="B149:C149"/>
    <mergeCell ref="B150:C150"/>
    <mergeCell ref="B151:B155"/>
    <mergeCell ref="B156:C156"/>
    <mergeCell ref="A120:C120"/>
    <mergeCell ref="A196:H197"/>
    <mergeCell ref="B182:B185"/>
    <mergeCell ref="B186:C186"/>
    <mergeCell ref="B187:B191"/>
    <mergeCell ref="B192:C192"/>
    <mergeCell ref="A193:C193"/>
    <mergeCell ref="A194:C194"/>
    <mergeCell ref="B157:B160"/>
    <mergeCell ref="B161:C161"/>
    <mergeCell ref="A162:C162"/>
    <mergeCell ref="A163:A192"/>
    <mergeCell ref="B163:B167"/>
    <mergeCell ref="B168:C168"/>
    <mergeCell ref="B169:B173"/>
    <mergeCell ref="B174:C174"/>
    <mergeCell ref="B176:B179"/>
    <mergeCell ref="B180:C180"/>
    <mergeCell ref="A121:A161"/>
    <mergeCell ref="B121:B126"/>
    <mergeCell ref="B127:C127"/>
    <mergeCell ref="B128:B134"/>
    <mergeCell ref="B135:C135"/>
    <mergeCell ref="B136:B139"/>
    <mergeCell ref="B140:C140"/>
  </mergeCells>
  <pageMargins left="0.59055118110236227" right="0.39370078740157483" top="0.39370078740157483" bottom="0.39370078740157483" header="0.19685039370078741" footer="0.19685039370078741"/>
  <pageSetup scale="97" firstPageNumber="0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1_pielikums_kopsavilkums</vt:lpstr>
      <vt:lpstr>1_pielikums_Funkcionālās_kateg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dagnija.spele</dc:creator>
  <cp:lastModifiedBy>Uldis Ervalds</cp:lastModifiedBy>
  <cp:lastPrinted>2025-11-04T08:30:09Z</cp:lastPrinted>
  <dcterms:created xsi:type="dcterms:W3CDTF">2025-01-31T09:43:23Z</dcterms:created>
  <dcterms:modified xsi:type="dcterms:W3CDTF">2025-12-02T08:52:46Z</dcterms:modified>
</cp:coreProperties>
</file>