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3AB8F23-A62A-4CB1-A75F-29700A9E02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_pielikums_kopsavilkums" sheetId="1" r:id="rId1"/>
    <sheet name="1_pielikums_Funkcionālās_kateg" sheetId="2" state="hidden" r:id="rId2"/>
  </sheet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3" i="1" l="1"/>
  <c r="Q64" i="1"/>
  <c r="Q65" i="1"/>
  <c r="Q66" i="1"/>
  <c r="Q67" i="1"/>
  <c r="Q62" i="1"/>
  <c r="Q51" i="1"/>
  <c r="Q52" i="1"/>
  <c r="Q53" i="1"/>
  <c r="Q54" i="1"/>
  <c r="Q55" i="1"/>
  <c r="Q56" i="1"/>
  <c r="Q57" i="1"/>
  <c r="Q58" i="1"/>
  <c r="Q50" i="1"/>
  <c r="Q42" i="1"/>
  <c r="Q43" i="1"/>
  <c r="Q44" i="1"/>
  <c r="Q45" i="1"/>
  <c r="Q46" i="1"/>
  <c r="Q47" i="1"/>
  <c r="Q36" i="1"/>
  <c r="Q37" i="1"/>
  <c r="Q38" i="1"/>
  <c r="Q39" i="1"/>
  <c r="Q40" i="1"/>
  <c r="Q35" i="1"/>
  <c r="Q31" i="1"/>
  <c r="Q30" i="1"/>
  <c r="Q25" i="1"/>
  <c r="Q26" i="1"/>
  <c r="Q28" i="1"/>
  <c r="Q24" i="1"/>
  <c r="Q15" i="1"/>
  <c r="Q16" i="1"/>
  <c r="Q17" i="1"/>
  <c r="Q18" i="1"/>
  <c r="Q19" i="1"/>
  <c r="Q20" i="1"/>
  <c r="Q21" i="1"/>
  <c r="Q22" i="1"/>
  <c r="Q14" i="1"/>
  <c r="Q11" i="1"/>
  <c r="Q12" i="1"/>
  <c r="Q10" i="1"/>
  <c r="M63" i="1"/>
  <c r="M64" i="1"/>
  <c r="M65" i="1"/>
  <c r="M66" i="1"/>
  <c r="M67" i="1"/>
  <c r="M62" i="1"/>
  <c r="M51" i="1"/>
  <c r="M52" i="1"/>
  <c r="M53" i="1"/>
  <c r="M54" i="1"/>
  <c r="M55" i="1"/>
  <c r="M56" i="1"/>
  <c r="M57" i="1"/>
  <c r="M58" i="1"/>
  <c r="M50" i="1"/>
  <c r="M36" i="1"/>
  <c r="M37" i="1"/>
  <c r="M38" i="1"/>
  <c r="M39" i="1"/>
  <c r="M40" i="1"/>
  <c r="M42" i="1"/>
  <c r="M43" i="1"/>
  <c r="M44" i="1"/>
  <c r="M45" i="1"/>
  <c r="M46" i="1"/>
  <c r="M47" i="1"/>
  <c r="M35" i="1"/>
  <c r="M31" i="1"/>
  <c r="M30" i="1"/>
  <c r="M28" i="1"/>
  <c r="M26" i="1"/>
  <c r="M25" i="1"/>
  <c r="M24" i="1"/>
  <c r="M22" i="1"/>
  <c r="M21" i="1"/>
  <c r="M20" i="1"/>
  <c r="M19" i="1"/>
  <c r="M18" i="1"/>
  <c r="M17" i="1"/>
  <c r="M16" i="1"/>
  <c r="M15" i="1"/>
  <c r="M14" i="1"/>
  <c r="M12" i="1"/>
  <c r="M11" i="1"/>
  <c r="M10" i="1"/>
  <c r="I63" i="1"/>
  <c r="I64" i="1"/>
  <c r="I65" i="1"/>
  <c r="I62" i="1"/>
  <c r="I51" i="1"/>
  <c r="I52" i="1"/>
  <c r="I53" i="1"/>
  <c r="I55" i="1"/>
  <c r="I56" i="1"/>
  <c r="I57" i="1"/>
  <c r="I58" i="1"/>
  <c r="I50" i="1"/>
  <c r="I47" i="1"/>
  <c r="I36" i="1"/>
  <c r="I38" i="1"/>
  <c r="I39" i="1"/>
  <c r="I40" i="1"/>
  <c r="I42" i="1"/>
  <c r="I43" i="1"/>
  <c r="I44" i="1"/>
  <c r="I45" i="1"/>
  <c r="I46" i="1"/>
  <c r="I35" i="1"/>
  <c r="I31" i="1"/>
  <c r="I30" i="1"/>
  <c r="I28" i="1"/>
  <c r="I26" i="1"/>
  <c r="I24" i="1"/>
  <c r="I15" i="1"/>
  <c r="I16" i="1"/>
  <c r="I17" i="1"/>
  <c r="I18" i="1"/>
  <c r="I19" i="1"/>
  <c r="I20" i="1"/>
  <c r="I21" i="1"/>
  <c r="I22" i="1"/>
  <c r="I14" i="1"/>
  <c r="I11" i="1"/>
  <c r="I12" i="1"/>
  <c r="I10" i="1"/>
  <c r="E63" i="1"/>
  <c r="E66" i="1"/>
  <c r="E62" i="1"/>
  <c r="E51" i="1"/>
  <c r="E53" i="1"/>
  <c r="E55" i="1"/>
  <c r="E56" i="1"/>
  <c r="E58" i="1"/>
  <c r="E47" i="1"/>
  <c r="E43" i="1"/>
  <c r="E44" i="1"/>
  <c r="E45" i="1"/>
  <c r="E46" i="1"/>
  <c r="E42" i="1"/>
  <c r="E37" i="1"/>
  <c r="E38" i="1"/>
  <c r="E40" i="1"/>
  <c r="E35" i="1"/>
  <c r="E31" i="1"/>
  <c r="E30" i="1"/>
  <c r="E25" i="1"/>
  <c r="E26" i="1"/>
  <c r="E28" i="1"/>
  <c r="E24" i="1"/>
  <c r="E15" i="1"/>
  <c r="E16" i="1"/>
  <c r="E17" i="1"/>
  <c r="E18" i="1"/>
  <c r="E19" i="1"/>
  <c r="E20" i="1"/>
  <c r="E21" i="1"/>
  <c r="E22" i="1"/>
  <c r="E14" i="1"/>
  <c r="E11" i="1"/>
  <c r="E12" i="1"/>
  <c r="E10" i="1"/>
  <c r="D57" i="1"/>
  <c r="T57" i="1" s="1"/>
  <c r="D50" i="1"/>
  <c r="T50" i="1" s="1"/>
  <c r="T65" i="1"/>
  <c r="T64" i="1"/>
  <c r="T63" i="1"/>
  <c r="T62" i="1"/>
  <c r="T58" i="1"/>
  <c r="T56" i="1"/>
  <c r="T55" i="1"/>
  <c r="T53" i="1"/>
  <c r="T52" i="1"/>
  <c r="T51" i="1"/>
  <c r="T47" i="1"/>
  <c r="T46" i="1"/>
  <c r="T45" i="1"/>
  <c r="T44" i="1"/>
  <c r="T43" i="1"/>
  <c r="T42" i="1"/>
  <c r="T40" i="1"/>
  <c r="T39" i="1"/>
  <c r="T38" i="1"/>
  <c r="T37" i="1"/>
  <c r="T36" i="1"/>
  <c r="T35" i="1"/>
  <c r="T31" i="1"/>
  <c r="T30" i="1"/>
  <c r="T28" i="1"/>
  <c r="T26" i="1"/>
  <c r="T25" i="1"/>
  <c r="T24" i="1"/>
  <c r="T22" i="1"/>
  <c r="T21" i="1"/>
  <c r="T20" i="1"/>
  <c r="T19" i="1"/>
  <c r="T18" i="1"/>
  <c r="T17" i="1"/>
  <c r="T16" i="1"/>
  <c r="T15" i="1"/>
  <c r="T14" i="1"/>
  <c r="T12" i="1"/>
  <c r="T11" i="1"/>
  <c r="T10" i="1"/>
  <c r="P61" i="1"/>
  <c r="P59" i="1"/>
  <c r="P41" i="1"/>
  <c r="P48" i="1" s="1"/>
  <c r="P29" i="1"/>
  <c r="P23" i="1"/>
  <c r="P13" i="1"/>
  <c r="P9" i="1"/>
  <c r="L61" i="1"/>
  <c r="L59" i="1"/>
  <c r="L41" i="1"/>
  <c r="L48" i="1" s="1"/>
  <c r="L29" i="1"/>
  <c r="L27" i="1"/>
  <c r="L23" i="1"/>
  <c r="L13" i="1"/>
  <c r="L9" i="1"/>
  <c r="H61" i="1"/>
  <c r="H59" i="1"/>
  <c r="H41" i="1"/>
  <c r="H48" i="1" s="1"/>
  <c r="H29" i="1"/>
  <c r="H27" i="1"/>
  <c r="T27" i="1" s="1"/>
  <c r="H23" i="1"/>
  <c r="H13" i="1"/>
  <c r="H9" i="1"/>
  <c r="D61" i="1"/>
  <c r="D41" i="1"/>
  <c r="D29" i="1"/>
  <c r="D23" i="1"/>
  <c r="T23" i="1" s="1"/>
  <c r="D13" i="1"/>
  <c r="D9" i="1"/>
  <c r="C64" i="1"/>
  <c r="E64" i="1" s="1"/>
  <c r="C36" i="1"/>
  <c r="C54" i="1"/>
  <c r="E54" i="1" s="1"/>
  <c r="E50" i="1" l="1"/>
  <c r="T9" i="1"/>
  <c r="T41" i="1"/>
  <c r="P32" i="1"/>
  <c r="P60" i="1" s="1"/>
  <c r="T13" i="1"/>
  <c r="D59" i="1"/>
  <c r="T59" i="1" s="1"/>
  <c r="T29" i="1"/>
  <c r="T54" i="1"/>
  <c r="T66" i="1"/>
  <c r="T61" i="1" s="1"/>
  <c r="H32" i="1"/>
  <c r="H60" i="1" s="1"/>
  <c r="H67" i="1" s="1"/>
  <c r="L32" i="1"/>
  <c r="L60" i="1" s="1"/>
  <c r="D48" i="1"/>
  <c r="T48" i="1" s="1"/>
  <c r="D32" i="1"/>
  <c r="G25" i="1"/>
  <c r="I25" i="1" s="1"/>
  <c r="G66" i="1"/>
  <c r="I66" i="1" s="1"/>
  <c r="D60" i="1" l="1"/>
  <c r="D67" i="1" s="1"/>
  <c r="T67" i="1" s="1"/>
  <c r="T32" i="1"/>
  <c r="T60" i="1" s="1"/>
  <c r="K61" i="1"/>
  <c r="N61" i="1"/>
  <c r="O61" i="1"/>
  <c r="C61" i="1"/>
  <c r="F61" i="1"/>
  <c r="G61" i="1"/>
  <c r="G59" i="1"/>
  <c r="G41" i="1"/>
  <c r="C59" i="1"/>
  <c r="O59" i="1"/>
  <c r="Q61" i="1" l="1"/>
  <c r="Q59" i="1"/>
  <c r="O41" i="1"/>
  <c r="O48" i="1" s="1"/>
  <c r="O29" i="1"/>
  <c r="O23" i="1"/>
  <c r="O13" i="1"/>
  <c r="O9" i="1"/>
  <c r="Q9" i="1" l="1"/>
  <c r="M59" i="1"/>
  <c r="Q23" i="1"/>
  <c r="M61" i="1"/>
  <c r="Q29" i="1"/>
  <c r="Q13" i="1"/>
  <c r="K41" i="1"/>
  <c r="K48" i="1" s="1"/>
  <c r="K59" i="1"/>
  <c r="S59" i="1" s="1"/>
  <c r="O32" i="1"/>
  <c r="O60" i="1" s="1"/>
  <c r="K29" i="1"/>
  <c r="K27" i="1"/>
  <c r="K23" i="1"/>
  <c r="K13" i="1"/>
  <c r="G48" i="1"/>
  <c r="G29" i="1"/>
  <c r="G27" i="1"/>
  <c r="G23" i="1"/>
  <c r="G13" i="1"/>
  <c r="G9" i="1"/>
  <c r="C41" i="1"/>
  <c r="C29" i="1"/>
  <c r="C23" i="1"/>
  <c r="C13" i="1"/>
  <c r="C9" i="1"/>
  <c r="K9" i="1"/>
  <c r="J61" i="1"/>
  <c r="S66" i="1"/>
  <c r="S65" i="1"/>
  <c r="S64" i="1"/>
  <c r="S63" i="1"/>
  <c r="S51" i="1"/>
  <c r="S52" i="1"/>
  <c r="S53" i="1"/>
  <c r="S54" i="1"/>
  <c r="S55" i="1"/>
  <c r="S56" i="1"/>
  <c r="S57" i="1"/>
  <c r="S58" i="1"/>
  <c r="S50" i="1"/>
  <c r="S36" i="1"/>
  <c r="S37" i="1"/>
  <c r="S38" i="1"/>
  <c r="S39" i="1"/>
  <c r="S40" i="1"/>
  <c r="S42" i="1"/>
  <c r="S43" i="1"/>
  <c r="S44" i="1"/>
  <c r="S45" i="1"/>
  <c r="S46" i="1"/>
  <c r="S47" i="1"/>
  <c r="S35" i="1"/>
  <c r="S10" i="1"/>
  <c r="S11" i="1"/>
  <c r="S12" i="1"/>
  <c r="S14" i="1"/>
  <c r="S15" i="1"/>
  <c r="S16" i="1"/>
  <c r="S17" i="1"/>
  <c r="S18" i="1"/>
  <c r="S19" i="1"/>
  <c r="S20" i="1"/>
  <c r="S21" i="1"/>
  <c r="S22" i="1"/>
  <c r="S24" i="1"/>
  <c r="S25" i="1"/>
  <c r="S26" i="1"/>
  <c r="S28" i="1"/>
  <c r="S30" i="1"/>
  <c r="S31" i="1"/>
  <c r="S9" i="1"/>
  <c r="K32" i="1" l="1"/>
  <c r="K60" i="1" s="1"/>
  <c r="S41" i="1"/>
  <c r="I61" i="1"/>
  <c r="C48" i="1"/>
  <c r="C32" i="1"/>
  <c r="C60" i="1" s="1"/>
  <c r="C67" i="1" s="1"/>
  <c r="S13" i="1"/>
  <c r="S23" i="1"/>
  <c r="G32" i="1"/>
  <c r="G60" i="1" s="1"/>
  <c r="G67" i="1" s="1"/>
  <c r="S29" i="1"/>
  <c r="S27" i="1"/>
  <c r="S48" i="1" l="1"/>
  <c r="S32" i="1"/>
  <c r="S60" i="1" s="1"/>
  <c r="D194" i="2"/>
  <c r="H194" i="2" s="1"/>
  <c r="E194" i="2"/>
  <c r="H162" i="2"/>
  <c r="D162" i="2"/>
  <c r="E135" i="2"/>
  <c r="F135" i="2"/>
  <c r="G135" i="2"/>
  <c r="D131" i="2"/>
  <c r="D135" i="2" s="1"/>
  <c r="E101" i="2"/>
  <c r="E100" i="2"/>
  <c r="F100" i="2"/>
  <c r="F101" i="2" s="1"/>
  <c r="G100" i="2"/>
  <c r="G101" i="2" s="1"/>
  <c r="D100" i="2"/>
  <c r="D101" i="2" s="1"/>
  <c r="H98" i="2"/>
  <c r="H100" i="2" s="1"/>
  <c r="E74" i="2"/>
  <c r="E75" i="2" s="1"/>
  <c r="F74" i="2"/>
  <c r="F75" i="2" s="1"/>
  <c r="G74" i="2"/>
  <c r="G75" i="2" s="1"/>
  <c r="H63" i="2"/>
  <c r="I63" i="2" s="1"/>
  <c r="D64" i="2"/>
  <c r="H70" i="2"/>
  <c r="H74" i="2" s="1"/>
  <c r="I74" i="2" s="1"/>
  <c r="D70" i="2"/>
  <c r="D74" i="2" s="1"/>
  <c r="B39" i="1"/>
  <c r="E39" i="1" s="1"/>
  <c r="F37" i="1"/>
  <c r="I37" i="1" s="1"/>
  <c r="B36" i="1"/>
  <c r="E36" i="1" s="1"/>
  <c r="B52" i="1"/>
  <c r="E52" i="1" s="1"/>
  <c r="F54" i="1"/>
  <c r="I54" i="1" s="1"/>
  <c r="B57" i="1"/>
  <c r="E57" i="1" s="1"/>
  <c r="B65" i="1"/>
  <c r="E65" i="1" s="1"/>
  <c r="F9" i="1"/>
  <c r="I9" i="1" s="1"/>
  <c r="F13" i="1"/>
  <c r="I13" i="1" s="1"/>
  <c r="F23" i="1"/>
  <c r="I23" i="1" s="1"/>
  <c r="F27" i="1"/>
  <c r="I27" i="1" s="1"/>
  <c r="F29" i="1"/>
  <c r="I29" i="1" s="1"/>
  <c r="J9" i="1"/>
  <c r="M9" i="1" s="1"/>
  <c r="J13" i="1"/>
  <c r="M13" i="1" s="1"/>
  <c r="J23" i="1"/>
  <c r="M23" i="1" s="1"/>
  <c r="J27" i="1"/>
  <c r="M27" i="1" s="1"/>
  <c r="J29" i="1"/>
  <c r="M29" i="1" s="1"/>
  <c r="N9" i="1"/>
  <c r="N13" i="1"/>
  <c r="N23" i="1"/>
  <c r="N27" i="1"/>
  <c r="N29" i="1"/>
  <c r="B9" i="1"/>
  <c r="E9" i="1" s="1"/>
  <c r="B13" i="1"/>
  <c r="E13" i="1" s="1"/>
  <c r="B23" i="1"/>
  <c r="E23" i="1" s="1"/>
  <c r="R28" i="1"/>
  <c r="B29" i="1"/>
  <c r="E29" i="1" s="1"/>
  <c r="B27" i="1"/>
  <c r="E27" i="1" s="1"/>
  <c r="R51" i="1"/>
  <c r="U51" i="1" s="1"/>
  <c r="R50" i="1"/>
  <c r="U50" i="1" s="1"/>
  <c r="R53" i="1"/>
  <c r="U53" i="1" s="1"/>
  <c r="R55" i="1"/>
  <c r="U55" i="1" s="1"/>
  <c r="R56" i="1"/>
  <c r="U56" i="1" s="1"/>
  <c r="R58" i="1"/>
  <c r="U58" i="1" s="1"/>
  <c r="R35" i="1"/>
  <c r="U35" i="1" s="1"/>
  <c r="R38" i="1"/>
  <c r="U38" i="1" s="1"/>
  <c r="R40" i="1"/>
  <c r="U40" i="1" s="1"/>
  <c r="B41" i="1"/>
  <c r="E41" i="1" s="1"/>
  <c r="F41" i="1"/>
  <c r="I41" i="1" s="1"/>
  <c r="J41" i="1"/>
  <c r="N41" i="1"/>
  <c r="R47" i="1"/>
  <c r="U47" i="1" s="1"/>
  <c r="R42" i="1"/>
  <c r="U42" i="1" s="1"/>
  <c r="R43" i="1"/>
  <c r="U43" i="1" s="1"/>
  <c r="R44" i="1"/>
  <c r="U44" i="1" s="1"/>
  <c r="R45" i="1"/>
  <c r="U45" i="1" s="1"/>
  <c r="R46" i="1"/>
  <c r="U46" i="1" s="1"/>
  <c r="R10" i="1"/>
  <c r="U10" i="1" s="1"/>
  <c r="R11" i="1"/>
  <c r="U11" i="1" s="1"/>
  <c r="R12" i="1"/>
  <c r="U12" i="1" s="1"/>
  <c r="R14" i="1"/>
  <c r="U14" i="1" s="1"/>
  <c r="R15" i="1"/>
  <c r="U15" i="1" s="1"/>
  <c r="R16" i="1"/>
  <c r="U16" i="1" s="1"/>
  <c r="R17" i="1"/>
  <c r="U17" i="1" s="1"/>
  <c r="R18" i="1"/>
  <c r="U18" i="1" s="1"/>
  <c r="R19" i="1"/>
  <c r="U19" i="1" s="1"/>
  <c r="R20" i="1"/>
  <c r="U20" i="1" s="1"/>
  <c r="R21" i="1"/>
  <c r="U21" i="1" s="1"/>
  <c r="R22" i="1"/>
  <c r="U22" i="1" s="1"/>
  <c r="R24" i="1"/>
  <c r="U24" i="1" s="1"/>
  <c r="R25" i="1"/>
  <c r="U25" i="1" s="1"/>
  <c r="R26" i="1"/>
  <c r="U26" i="1" s="1"/>
  <c r="R30" i="1"/>
  <c r="U30" i="1" s="1"/>
  <c r="R31" i="1"/>
  <c r="U31" i="1" s="1"/>
  <c r="G19" i="2"/>
  <c r="F19" i="2"/>
  <c r="E19" i="2"/>
  <c r="D19" i="2"/>
  <c r="H18" i="2"/>
  <c r="I18" i="2" s="1"/>
  <c r="H17" i="2"/>
  <c r="I17" i="2" s="1"/>
  <c r="H16" i="2"/>
  <c r="H15" i="2"/>
  <c r="I15" i="2" s="1"/>
  <c r="H14" i="2"/>
  <c r="I14" i="2" s="1"/>
  <c r="H13" i="2"/>
  <c r="I13" i="2" s="1"/>
  <c r="H12" i="2"/>
  <c r="H11" i="2"/>
  <c r="I11" i="2" s="1"/>
  <c r="H10" i="2"/>
  <c r="R63" i="1"/>
  <c r="U63" i="1" s="1"/>
  <c r="R64" i="1"/>
  <c r="U64" i="1" s="1"/>
  <c r="R62" i="1"/>
  <c r="R66" i="1"/>
  <c r="U66" i="1" s="1"/>
  <c r="J59" i="1"/>
  <c r="N59" i="1"/>
  <c r="H19" i="2"/>
  <c r="I10" i="2" s="1"/>
  <c r="I25" i="2" l="1"/>
  <c r="I29" i="2"/>
  <c r="I33" i="2"/>
  <c r="I37" i="2"/>
  <c r="I41" i="2"/>
  <c r="I45" i="2"/>
  <c r="I49" i="2"/>
  <c r="I53" i="2"/>
  <c r="I57" i="2"/>
  <c r="I61" i="2"/>
  <c r="I67" i="2"/>
  <c r="I72" i="2"/>
  <c r="I76" i="2"/>
  <c r="I80" i="2"/>
  <c r="I84" i="2"/>
  <c r="I88" i="2"/>
  <c r="I92" i="2"/>
  <c r="I96" i="2"/>
  <c r="I102" i="2"/>
  <c r="I106" i="2"/>
  <c r="I110" i="2"/>
  <c r="I114" i="2"/>
  <c r="I118" i="2"/>
  <c r="I122" i="2"/>
  <c r="I126" i="2"/>
  <c r="I130" i="2"/>
  <c r="I134" i="2"/>
  <c r="I138" i="2"/>
  <c r="I142" i="2"/>
  <c r="I146" i="2"/>
  <c r="I150" i="2"/>
  <c r="I154" i="2"/>
  <c r="I158" i="2"/>
  <c r="I162" i="2"/>
  <c r="I166" i="2"/>
  <c r="I170" i="2"/>
  <c r="I174" i="2"/>
  <c r="I178" i="2"/>
  <c r="I182" i="2"/>
  <c r="I186" i="2"/>
  <c r="I190" i="2"/>
  <c r="I194" i="2"/>
  <c r="I83" i="2"/>
  <c r="I125" i="2"/>
  <c r="I153" i="2"/>
  <c r="I177" i="2"/>
  <c r="I193" i="2"/>
  <c r="I22" i="2"/>
  <c r="I26" i="2"/>
  <c r="I30" i="2"/>
  <c r="I34" i="2"/>
  <c r="I38" i="2"/>
  <c r="I42" i="2"/>
  <c r="I46" i="2"/>
  <c r="I50" i="2"/>
  <c r="I54" i="2"/>
  <c r="I58" i="2"/>
  <c r="I62" i="2"/>
  <c r="I68" i="2"/>
  <c r="I73" i="2"/>
  <c r="I77" i="2"/>
  <c r="I81" i="2"/>
  <c r="I85" i="2"/>
  <c r="I89" i="2"/>
  <c r="I93" i="2"/>
  <c r="I97" i="2"/>
  <c r="I103" i="2"/>
  <c r="I107" i="2"/>
  <c r="I111" i="2"/>
  <c r="I115" i="2"/>
  <c r="I119" i="2"/>
  <c r="I123" i="2"/>
  <c r="I127" i="2"/>
  <c r="I139" i="2"/>
  <c r="I143" i="2"/>
  <c r="I147" i="2"/>
  <c r="I151" i="2"/>
  <c r="I155" i="2"/>
  <c r="I159" i="2"/>
  <c r="I163" i="2"/>
  <c r="I167" i="2"/>
  <c r="I171" i="2"/>
  <c r="I175" i="2"/>
  <c r="I179" i="2"/>
  <c r="I183" i="2"/>
  <c r="I187" i="2"/>
  <c r="I191" i="2"/>
  <c r="I21" i="2"/>
  <c r="I24" i="2"/>
  <c r="I32" i="2"/>
  <c r="I36" i="2"/>
  <c r="I44" i="2"/>
  <c r="I52" i="2"/>
  <c r="I56" i="2"/>
  <c r="I66" i="2"/>
  <c r="I91" i="2"/>
  <c r="I109" i="2"/>
  <c r="I121" i="2"/>
  <c r="I133" i="2"/>
  <c r="I141" i="2"/>
  <c r="I149" i="2"/>
  <c r="I157" i="2"/>
  <c r="I165" i="2"/>
  <c r="I173" i="2"/>
  <c r="I185" i="2"/>
  <c r="I23" i="2"/>
  <c r="I27" i="2"/>
  <c r="I31" i="2"/>
  <c r="I35" i="2"/>
  <c r="I39" i="2"/>
  <c r="I43" i="2"/>
  <c r="I47" i="2"/>
  <c r="I51" i="2"/>
  <c r="I55" i="2"/>
  <c r="I59" i="2"/>
  <c r="I65" i="2"/>
  <c r="I69" i="2"/>
  <c r="I78" i="2"/>
  <c r="I82" i="2"/>
  <c r="I86" i="2"/>
  <c r="I90" i="2"/>
  <c r="I94" i="2"/>
  <c r="I99" i="2"/>
  <c r="I104" i="2"/>
  <c r="I108" i="2"/>
  <c r="I112" i="2"/>
  <c r="I116" i="2"/>
  <c r="I120" i="2"/>
  <c r="I124" i="2"/>
  <c r="I128" i="2"/>
  <c r="I132" i="2"/>
  <c r="I136" i="2"/>
  <c r="I140" i="2"/>
  <c r="I144" i="2"/>
  <c r="I148" i="2"/>
  <c r="I152" i="2"/>
  <c r="I156" i="2"/>
  <c r="I160" i="2"/>
  <c r="I164" i="2"/>
  <c r="I168" i="2"/>
  <c r="I172" i="2"/>
  <c r="I176" i="2"/>
  <c r="I180" i="2"/>
  <c r="I184" i="2"/>
  <c r="I188" i="2"/>
  <c r="I192" i="2"/>
  <c r="I98" i="2"/>
  <c r="I28" i="2"/>
  <c r="I40" i="2"/>
  <c r="I48" i="2"/>
  <c r="I60" i="2"/>
  <c r="I71" i="2"/>
  <c r="I79" i="2"/>
  <c r="I87" i="2"/>
  <c r="I95" i="2"/>
  <c r="I105" i="2"/>
  <c r="I113" i="2"/>
  <c r="I117" i="2"/>
  <c r="I129" i="2"/>
  <c r="I137" i="2"/>
  <c r="I145" i="2"/>
  <c r="I161" i="2"/>
  <c r="I169" i="2"/>
  <c r="I181" i="2"/>
  <c r="I189" i="2"/>
  <c r="I100" i="2"/>
  <c r="H101" i="2"/>
  <c r="I101" i="2" s="1"/>
  <c r="D75" i="2"/>
  <c r="I16" i="2"/>
  <c r="I70" i="2"/>
  <c r="I19" i="2"/>
  <c r="H64" i="2"/>
  <c r="I12" i="2"/>
  <c r="Q27" i="1"/>
  <c r="Q32" i="1" s="1"/>
  <c r="Q60" i="1" s="1"/>
  <c r="H131" i="2"/>
  <c r="J48" i="1"/>
  <c r="M41" i="1"/>
  <c r="M48" i="1" s="1"/>
  <c r="N48" i="1"/>
  <c r="Q41" i="1"/>
  <c r="Q48" i="1" s="1"/>
  <c r="F48" i="1"/>
  <c r="I48" i="1" s="1"/>
  <c r="R37" i="1"/>
  <c r="U37" i="1" s="1"/>
  <c r="R54" i="1"/>
  <c r="U54" i="1" s="1"/>
  <c r="R39" i="1"/>
  <c r="U39" i="1" s="1"/>
  <c r="B61" i="1"/>
  <c r="E61" i="1"/>
  <c r="R57" i="1"/>
  <c r="U57" i="1" s="1"/>
  <c r="E59" i="1"/>
  <c r="S67" i="1"/>
  <c r="U67" i="1" s="1"/>
  <c r="R9" i="1"/>
  <c r="U9" i="1" s="1"/>
  <c r="R27" i="1"/>
  <c r="U27" i="1" s="1"/>
  <c r="U28" i="1"/>
  <c r="B59" i="1"/>
  <c r="F59" i="1"/>
  <c r="I59" i="1" s="1"/>
  <c r="R13" i="1"/>
  <c r="U13" i="1" s="1"/>
  <c r="N32" i="1"/>
  <c r="N60" i="1" s="1"/>
  <c r="B32" i="1"/>
  <c r="E32" i="1" s="1"/>
  <c r="E60" i="1" s="1"/>
  <c r="R41" i="1"/>
  <c r="U41" i="1" s="1"/>
  <c r="R23" i="1"/>
  <c r="B48" i="1"/>
  <c r="E48" i="1" s="1"/>
  <c r="R52" i="1"/>
  <c r="U52" i="1" s="1"/>
  <c r="R29" i="1"/>
  <c r="U29" i="1" s="1"/>
  <c r="J32" i="1"/>
  <c r="M32" i="1" s="1"/>
  <c r="F32" i="1"/>
  <c r="R65" i="1"/>
  <c r="U65" i="1" s="1"/>
  <c r="R36" i="1"/>
  <c r="U36" i="1" s="1"/>
  <c r="I131" i="2" l="1"/>
  <c r="H135" i="2"/>
  <c r="I135" i="2" s="1"/>
  <c r="H75" i="2"/>
  <c r="I75" i="2" s="1"/>
  <c r="I64" i="2"/>
  <c r="B60" i="1"/>
  <c r="B67" i="1" s="1"/>
  <c r="E67" i="1" s="1"/>
  <c r="F60" i="1"/>
  <c r="F67" i="1" s="1"/>
  <c r="I67" i="1" s="1"/>
  <c r="I32" i="1"/>
  <c r="I60" i="1" s="1"/>
  <c r="J60" i="1"/>
  <c r="M60" i="1"/>
  <c r="R61" i="1"/>
  <c r="R32" i="1"/>
  <c r="U23" i="1"/>
  <c r="R59" i="1"/>
  <c r="U59" i="1" s="1"/>
  <c r="R48" i="1"/>
  <c r="U48" i="1" l="1"/>
  <c r="V41" i="1" s="1"/>
  <c r="U32" i="1"/>
  <c r="V13" i="1" s="1"/>
  <c r="R60" i="1"/>
  <c r="U60" i="1"/>
  <c r="V9" i="1"/>
  <c r="V27" i="1"/>
  <c r="V52" i="1"/>
  <c r="V28" i="1"/>
  <c r="V48" i="1"/>
  <c r="V40" i="1"/>
  <c r="V39" i="1"/>
  <c r="V37" i="1"/>
  <c r="V47" i="1"/>
  <c r="V44" i="1"/>
  <c r="V38" i="1"/>
  <c r="V35" i="1"/>
  <c r="V42" i="1"/>
  <c r="V23" i="1"/>
  <c r="V59" i="1"/>
  <c r="V55" i="1"/>
  <c r="V53" i="1"/>
  <c r="V50" i="1"/>
  <c r="V56" i="1"/>
  <c r="V58" i="1"/>
  <c r="V51" i="1"/>
  <c r="V54" i="1"/>
  <c r="V57" i="1"/>
  <c r="V32" i="1"/>
  <c r="V26" i="1"/>
  <c r="V20" i="1"/>
  <c r="V15" i="1"/>
  <c r="V14" i="1"/>
  <c r="V21" i="1"/>
  <c r="V12" i="1"/>
  <c r="V16" i="1"/>
  <c r="V31" i="1"/>
  <c r="V10" i="1"/>
  <c r="V30" i="1"/>
  <c r="V19" i="1"/>
  <c r="V11" i="1"/>
  <c r="V24" i="1"/>
  <c r="V17" i="1"/>
  <c r="V22" i="1"/>
  <c r="V25" i="1"/>
  <c r="V18" i="1"/>
  <c r="V36" i="1"/>
  <c r="V43" i="1" l="1"/>
  <c r="V46" i="1"/>
  <c r="V45" i="1"/>
  <c r="V29" i="1"/>
  <c r="S62" i="1"/>
  <c r="U62" i="1" s="1"/>
  <c r="U61" i="1" l="1"/>
  <c r="S61" i="1"/>
</calcChain>
</file>

<file path=xl/sharedStrings.xml><?xml version="1.0" encoding="utf-8"?>
<sst xmlns="http://schemas.openxmlformats.org/spreadsheetml/2006/main" count="336" uniqueCount="175">
  <si>
    <t>13.400  Ieņēmumi no valsts un pašvaldību kustamā īpašuma un mantas realizācijas</t>
  </si>
  <si>
    <t>21.100  Budžeta iestādes ieņēmumi no ārvalstu finanšu palīdzības</t>
  </si>
  <si>
    <t>18.600  Pašvaldību budžetā saņemtie uzturēšanas izdevumu transferti no valsts budžeta</t>
  </si>
  <si>
    <t>08.600  Procentu ieņēmumi par depozītiem, kontu atlikumiem un valsts parāda vērtspapīriem</t>
  </si>
  <si>
    <t>13.200  Ieņēmumi no zemes, meža īpašuma pārdošanas</t>
  </si>
  <si>
    <t>09.500  Pašvaldību nodevas</t>
  </si>
  <si>
    <t>19.200  Pašvaldību saņemtie  transferti no citām pašvaldībām</t>
  </si>
  <si>
    <t>13.100  Ieņēmumi no ēku un būvju īpašuma pārdošanas</t>
  </si>
  <si>
    <t>01.100  Ieņēmumi no iedzīvotāju ienākuma nodokļa</t>
  </si>
  <si>
    <t>12.200  Nenodokļu ieņēmumi un ieņēmumi no zaudējumu atlīdzībām un kompensācijām</t>
  </si>
  <si>
    <t>04.100  Nekustamā īpašuma nodoklis</t>
  </si>
  <si>
    <t>21.300  Ieņēmumi no budžeta iestāžu sniegtajiem maksas pakalpojumiem un citi pašu ieņēmumi</t>
  </si>
  <si>
    <t>12.300  Dažādi nenodokļu ieņēmumi</t>
  </si>
  <si>
    <t>10.100  Naudas sodi</t>
  </si>
  <si>
    <t>09.400  Valsts nodevas, kuras ieskaita pašvaldību budžetā</t>
  </si>
  <si>
    <t>1000  Atlīdzība</t>
  </si>
  <si>
    <t>2000  Preces un pakalpojumi</t>
  </si>
  <si>
    <t>3000  Subsīdijas un dotācijas</t>
  </si>
  <si>
    <t>4000  Procentu izdevumi</t>
  </si>
  <si>
    <t>5000  Pamatkapitāla veidošana</t>
  </si>
  <si>
    <t>6000  Sociālā rakstura maksājumi un kompensācijas</t>
  </si>
  <si>
    <t>7000  Uzturēšanas izdevumu transferti, pašu resursu maksājumi, starptautiskā sadarbība</t>
  </si>
  <si>
    <t>9000  Kapitālo izdevumu transferti</t>
  </si>
  <si>
    <t>Nodokļu ieņēmumi</t>
  </si>
  <si>
    <t>Nenodokļu ieņēmumi</t>
  </si>
  <si>
    <t>Transferti</t>
  </si>
  <si>
    <t>IEŅĒMUMI KOPĀ</t>
  </si>
  <si>
    <t>IEŅĒMUMI</t>
  </si>
  <si>
    <t>7210  Pašvaldību uzturēšanas izdevumu transferti citām pašvaldībām</t>
  </si>
  <si>
    <t>7220  Pašvaldību uzturēšanas izdevumu iekšējie transferti starp pašvaldības budžeta veidiem</t>
  </si>
  <si>
    <t>7240  Pašvaldības budžeta uzturēšanas izdevumu transferts uz valsts budžetu</t>
  </si>
  <si>
    <t>7720  Pārējie pārskaitījumi ārvalstīm</t>
  </si>
  <si>
    <t>IZDEVUMI KOPĀ</t>
  </si>
  <si>
    <t xml:space="preserve">IZDEVUMI </t>
  </si>
  <si>
    <t>Izdevumi atbilstoši ekonomiskajām kategorijām</t>
  </si>
  <si>
    <t>05.500  Nodokļi un maksājumi par tiesībām lietot atsevišķas preces (Dabas resursu nodoklis)</t>
  </si>
  <si>
    <t>Izdevumi atbilstoši funkcionālajām kategorijām</t>
  </si>
  <si>
    <t>01.000  Vispārējie valdības dienesti</t>
  </si>
  <si>
    <t>03.000  Sabiedriskā kārtība un drošība</t>
  </si>
  <si>
    <t>04.000  Ekonomiskā darbība</t>
  </si>
  <si>
    <t>05.000  Vides aizsardzība</t>
  </si>
  <si>
    <t>06.000  Pašvaldības teritoriju un mājokļu apsaimniekošana</t>
  </si>
  <si>
    <t>07.000  Veselība</t>
  </si>
  <si>
    <t>08.000  Atpūta, kultūra, sports un reliģija</t>
  </si>
  <si>
    <t>09.000  Izglītība</t>
  </si>
  <si>
    <t>10.000  Sociālā aizsardzība</t>
  </si>
  <si>
    <t>FINANSĒŠANA</t>
  </si>
  <si>
    <t>IEŅĒMUMU PĀRSNIEGUMS  (+) VAI DEFICĪTS (-)</t>
  </si>
  <si>
    <t>Rādītāju nosaukums</t>
  </si>
  <si>
    <t>1.pielikums</t>
  </si>
  <si>
    <r>
      <t xml:space="preserve">saistošajiem noteikumiem </t>
    </r>
    <r>
      <rPr>
        <sz val="8"/>
        <color indexed="10"/>
        <rFont val="Arial"/>
        <family val="2"/>
        <charset val="186"/>
      </rPr>
      <t>Nr.**</t>
    </r>
  </si>
  <si>
    <t>Pieprasījuma noguldījumu veikšana/izņemšana starp finansējumiem (t.sk.Projektu līdzfinansējums)</t>
  </si>
  <si>
    <t>Aizņēmumi (Saņemto aizņēmumu atmaksa)</t>
  </si>
  <si>
    <t>Aizņēmumi (Saņemtie ilgtermiņa)</t>
  </si>
  <si>
    <t>Naudas līdzekļu un noguldījumu atlikums gada sākumā</t>
  </si>
  <si>
    <t>Naudas līdzekļu un noguldījumu atlikums perioda beigās</t>
  </si>
  <si>
    <t>PLĀNS KOPĀ</t>
  </si>
  <si>
    <t>Pašvaldības budžeta plāns</t>
  </si>
  <si>
    <t>12  Valsts budžeta plāns</t>
  </si>
  <si>
    <t xml:space="preserve"> Pašvaldības budžets
fin.11</t>
  </si>
  <si>
    <t>Dabas resursu nodoklis 
fin.14</t>
  </si>
  <si>
    <t>Projektu 
(ES fondu) budžets fin.13</t>
  </si>
  <si>
    <t>17.200  Pašvaldību saņemtie transferti no valsts budžeta daļēji finansētām atvasinātām publiskām personām un no budžeta nefinasētām iestādēm</t>
  </si>
  <si>
    <t>21.400  Pārējie 21.3.0.0.grupā neklasificētie budžeta iestāžu ieņēmumi par budžeta iestāžu sniegtajiem maksas pakalpojumiem un citi pašu ieņēmumi</t>
  </si>
  <si>
    <t>7270  Pašvaldību uzturēšanas izdevumu transferti valsts budžeta daļēji finansētām atvasinātajām publiskajām personām, budžeta nefinansētajām iestādēm</t>
  </si>
  <si>
    <t>Aizņēmumi (Saņemtie vidēja termiņa) (budžeta un finanšu vadībai)</t>
  </si>
  <si>
    <t>Jelgavas novada pašvaldības pamatbudžeta izdevumu kopsavilkums 2025.gadam atbilstoši funkcionālajām kategorijām</t>
  </si>
  <si>
    <t>01.100  Izpildvara, likumdošanas vara, finanšu un fiskālā darbība, ārlietas</t>
  </si>
  <si>
    <t>01.100  Izpildvara, likumdošanas vara, finanšu un fiskālā darbība, ārlietas KOPĀ</t>
  </si>
  <si>
    <t>01.300  Vispārējas nozīmes dienesti</t>
  </si>
  <si>
    <t>01.300  Vispārējas nozīmes dienesti KOPĀ</t>
  </si>
  <si>
    <t>01.600  Pārējie iepriekš neklasificētie valdības dienesti</t>
  </si>
  <si>
    <t>01.600  Pārējie iepriekš neklasificētie valdības dienesti KOPĀ</t>
  </si>
  <si>
    <t>01.700  Vispārējās valdības sektora (valsts un pašvaldības) parāda darījumi</t>
  </si>
  <si>
    <t>01.700  Vispārējās valdības sektora (valsts un pašvaldības) parāda darījumi KOPĀ</t>
  </si>
  <si>
    <t>01.000  Vispārējie valdības dienesti KOPĀ</t>
  </si>
  <si>
    <t>03.100  Policija</t>
  </si>
  <si>
    <t>03.100  Policija KOPĀ</t>
  </si>
  <si>
    <t>03.200  Ugunsdrošības, ugunsdzēsības, glābšanas un civilās drošības dienesti</t>
  </si>
  <si>
    <t>03.200  Ugunsdrošības, ugunsdzēsības, glābšanas un civilās drošības dienesti KOPĀ</t>
  </si>
  <si>
    <t>03.000  Sabiedriskā kārtība un drošība KOPĀ</t>
  </si>
  <si>
    <t>04.100  Vispārēja ekonomiska, komerciāla un nodarbinātības darbība</t>
  </si>
  <si>
    <t>04.100  Vispārēja ekonomiska, komerciāla un nodarbinātības darbība KOPĀ</t>
  </si>
  <si>
    <t>04.200  Lauksaimniecība, mežsaimniecība, zivsaimniecība un medniecība</t>
  </si>
  <si>
    <t>04.200  Lauksaimniecība, mežsaimniecība, zivsaimniecība un medniecība KOPĀ</t>
  </si>
  <si>
    <t>04.400  Kalnrūpniecība, rūpniecība un būvniecība</t>
  </si>
  <si>
    <t>04.400  Kalnrūpniecība, rūpniecība un būvniecība KOPĀ</t>
  </si>
  <si>
    <t>04.500  Transports</t>
  </si>
  <si>
    <t>04.500  Transports KOPĀ</t>
  </si>
  <si>
    <t>04.600  Sakari</t>
  </si>
  <si>
    <t>04.600  Sakari KOPĀ</t>
  </si>
  <si>
    <t>04.700  Citas nozares</t>
  </si>
  <si>
    <t>04.700  Citas nozares KOPĀ</t>
  </si>
  <si>
    <t>04.000  Ekonomiskā darbība KOPĀ</t>
  </si>
  <si>
    <t>05.100  Atkritumu apsaimniekošana</t>
  </si>
  <si>
    <t>05.300  Vides piesārņojuma novēršana un samazināšana</t>
  </si>
  <si>
    <t>05.300  Vides piesārņojuma novēršana un samazināšana KOPĀ</t>
  </si>
  <si>
    <t>05.400  Bioloģiskās daudzveidības un ainavas aizsardzība</t>
  </si>
  <si>
    <t>05.600  Pārējā citur neklasificētā vides aizsardzība</t>
  </si>
  <si>
    <t>05.600  Pārējā citur neklasificētā vides aizsardzība KOPĀ</t>
  </si>
  <si>
    <t>05.000  Vides aizsardzība KOPĀ</t>
  </si>
  <si>
    <t>06.100  Mājokļu attīstība</t>
  </si>
  <si>
    <t>06.100  Mājokļu attīstība KOPĀ</t>
  </si>
  <si>
    <t>06.200  Teritoriju attīstība</t>
  </si>
  <si>
    <t>06.200  Teritoriju attīstība KOPĀ</t>
  </si>
  <si>
    <t>06.400  Ielu apgaismošana</t>
  </si>
  <si>
    <t>06.600  Pārējā citur neklasificētā pašvaldību teritoriju un mājokļu apsaimniekošanas darbība</t>
  </si>
  <si>
    <t>06.600  Pārējā citur neklasificētā pašvaldību teritoriju un mājokļu apsaimniekošanas darbība KOPĀ</t>
  </si>
  <si>
    <t>06.000  Pašvaldības teritoriju un mājokļu apsaimniekošana KOPĀ</t>
  </si>
  <si>
    <t>07.200  Ambulatoro ārstniecības iestāžu darbība un pakalpojumi</t>
  </si>
  <si>
    <t>08.100  Atpūtas un sporta pasākumi</t>
  </si>
  <si>
    <t>08.100  Atpūtas un sporta pasākumi KOPĀ</t>
  </si>
  <si>
    <t>08.200  Kultūra</t>
  </si>
  <si>
    <t>08.200  Kultūra KOPĀ</t>
  </si>
  <si>
    <t>08.600  Pārējie citur neklasificētie sporta, atpūtas, kultūras un reliģijas pakalpojumi</t>
  </si>
  <si>
    <t>08.600  Pārējie citur neklasificētie sporta, atpūtas, kultūras un reliģijas pakalpojumi KOPĀ</t>
  </si>
  <si>
    <t>08.000  Atpūta, kultūra, sports un reliģija KOPĀ</t>
  </si>
  <si>
    <t>09.100  Pirmsskolas izglītība (ISCED-97 0.līmenis)</t>
  </si>
  <si>
    <t>09.100  Pirmsskolas izglītība (ISCED-97 0.līmenis) KOPĀ</t>
  </si>
  <si>
    <t>09.210  Vispārējā izglītība. Pamatizglītība (ISCED-971., 2. un 3.līmenis)(GP 09.219)</t>
  </si>
  <si>
    <t>09.210  Vispārējā izglītība. Pamatizglītība (ISCED-971., 2. un 3.līmenis)(GP 09.219) KOPĀ</t>
  </si>
  <si>
    <t>09.220  Profesionālā izglītība (ISCED-97 2. un 3.līmenis)</t>
  </si>
  <si>
    <t>09.220  Profesionālā izglītība (ISCED-97 2. un 3.līmenis) KOPĀ</t>
  </si>
  <si>
    <t>09.200  Pamatizglītība, vispārējā un profesionālā izglītība (ISCED-971., 2. un 3.līmenis) KOPĀ</t>
  </si>
  <si>
    <t>09.500  Līmeņos nedefinētā izglītība</t>
  </si>
  <si>
    <t>09.510  Interešu un profesionālās ievirzes izglītība KOPĀ</t>
  </si>
  <si>
    <t>09.530  Līmeņos nedefinēta izglītība pieaugušajiem</t>
  </si>
  <si>
    <t>09.530  Līmeņos nedefinēta izglītība pieaugušajiem KOPĀ</t>
  </si>
  <si>
    <t>09.500  Līmeņos nedefinētā izglītība KOPĀ</t>
  </si>
  <si>
    <t>09.600  Izglītības papildu pakalpojumi</t>
  </si>
  <si>
    <t>09.600  Izglītības papildu pakalpojumi KOPĀ</t>
  </si>
  <si>
    <t>09.800  Pārējā citur neklasificētā izglītība</t>
  </si>
  <si>
    <t>09.800  Pārējā citur neklasificētā izglītība KOPĀ</t>
  </si>
  <si>
    <t>09.000  Izglītība KOPĀ</t>
  </si>
  <si>
    <t>10.100  Sociālā aizsardzība darbnespējas gadījumā</t>
  </si>
  <si>
    <t>10.100  Sociālā aizsardzība darbnespējas gadījumā KOPĀ</t>
  </si>
  <si>
    <t>10.200  Atbalsts gados veciem cilvēkiem</t>
  </si>
  <si>
    <t>10.200  Atbalsts gados veciem cilvēkiem KOPĀ</t>
  </si>
  <si>
    <t>10.300  Atbalsts apgādnieka zaudējuma gadījumā</t>
  </si>
  <si>
    <t>10.400  Atbalsts ģimenēm ar bērniem</t>
  </si>
  <si>
    <t>10.400  Atbalsts ģimenēm ar bērniem KOPĀ</t>
  </si>
  <si>
    <t>10.500  Atbalsts bezdarba gadījumā</t>
  </si>
  <si>
    <t>10.700  Pārējais citur neklasificēts atbalsts sociāli atstumtām personām</t>
  </si>
  <si>
    <t>10.700  Pārējais citur neklasificēts atbalsts sociāli atstumtām personām KOPĀ</t>
  </si>
  <si>
    <t>10.900  Pārējā citur neklasificētā sociālā aizsardzība</t>
  </si>
  <si>
    <t>10.900  Pārējā citur neklasificētā sociālā aizsardzība KOPĀ</t>
  </si>
  <si>
    <t>10.000  Sociālā aizsardzība KOPĀ</t>
  </si>
  <si>
    <t>KOPĀ</t>
  </si>
  <si>
    <t>*Pielikums sagatavots atbilstoši 01.01.2007 Ministru kabineta noteikumiem Nr. 934, "Noteikumi par budžetu izdevumu klasifikāciju atbilstoši funkcionālajām kategorijām" un Valsts kases vadlīnijām par mēnešu un gada pārskata sagatavošanu.</t>
  </si>
  <si>
    <t>Tajā skaitā detalizēti*:</t>
  </si>
  <si>
    <t>Īpatsvars, %</t>
  </si>
  <si>
    <t>Ieņēmumi no maksas pakalpojumiem un citi pašu ieņēmumi</t>
  </si>
  <si>
    <t>Ārvalstu finanšu palīdzība</t>
  </si>
  <si>
    <t>Valsts budžeta plāns
fin.12</t>
  </si>
  <si>
    <r>
      <t xml:space="preserve">Jelgavas novada pašvaldības 2025.gada </t>
    </r>
    <r>
      <rPr>
        <sz val="8"/>
        <color indexed="10"/>
        <rFont val="Arial"/>
        <family val="2"/>
        <charset val="186"/>
      </rPr>
      <t>**</t>
    </r>
    <r>
      <rPr>
        <sz val="8"/>
        <rFont val="Arial"/>
        <family val="2"/>
        <charset val="186"/>
      </rPr>
      <t>.februāra</t>
    </r>
  </si>
  <si>
    <t>Grozījumi
(+/-)
09.2025</t>
  </si>
  <si>
    <t xml:space="preserve"> Grozījumi 
Pašvaldības budžets
fin.11
(+/-)
09.2025</t>
  </si>
  <si>
    <t>Grozījumi 
Projektu 
(ES fondu) budžets fin.13
(+/-)
09.2025</t>
  </si>
  <si>
    <t>Grozījumi 
Dabas resursu nodoklis 
fin.14
(+/-)
09.2025</t>
  </si>
  <si>
    <t>Grozījumi 
Valsts budžeta plāns
fin.12
(+/-)
09.2025</t>
  </si>
  <si>
    <t>Plāns kopā 2025.gadam</t>
  </si>
  <si>
    <t xml:space="preserve"> Grozījumi 
Pašvaldības budžets
fin.11
(+/-)
10.2025</t>
  </si>
  <si>
    <t>Precizēts plāns Pašvaldības budžets
fin.11
 uz 10.2025</t>
  </si>
  <si>
    <t>Grozījumi 
Projektu 
(ES fondu) budžets fin.13
(+/-)
10.2025</t>
  </si>
  <si>
    <t>Precizēts plāns Projektu 
(ES fondu) budžets fin.13
 uz 10.2025</t>
  </si>
  <si>
    <t>Grozījumi 
Dabas resursu nodoklis 
fin.14
(+/-)
10.2025</t>
  </si>
  <si>
    <t>Precizēts plāns Dabas resursu nodoklis 
fin.14
 uz 10.2025</t>
  </si>
  <si>
    <t>Grozījumi 
Valsts budžeta plāns
fin.12
(+/-)
10.2025</t>
  </si>
  <si>
    <t>Precizēts plāns Valsts budžeta plāns
fin.12
 uz 10.2025</t>
  </si>
  <si>
    <t>Grozījumi
(+/-)
10.2025</t>
  </si>
  <si>
    <t>Precizēts plāns uz 10.2025
KOPĀ</t>
  </si>
  <si>
    <t>Jelgavas novada pašvaldības pamatbudžeta ieņēmumu un izdevumu kopsavilkums 2025. gadam</t>
  </si>
  <si>
    <t>1. pielikums</t>
  </si>
  <si>
    <t>Jelgavas novada pašvaldības 2025. gada 29. oktobra</t>
  </si>
  <si>
    <t>saistošajiem noteikumiem Nr.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</si>
</sst>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_ ;[Red]\-#,##0\ "/>
    <numFmt numFmtId="165" formatCode="0.0000"/>
    <numFmt numFmtId="166" formatCode="0.000"/>
  </numFmts>
  <fonts count="14" x14ac:knownFonts="1">
    <font>
      <sz val="9"/>
      <color rgb="FF3B3B3B"/>
      <name val="Segoe UI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8"/>
      <color indexed="10"/>
      <name val="Arial"/>
      <family val="2"/>
      <charset val="186"/>
    </font>
    <font>
      <sz val="9"/>
      <name val="Arial"/>
      <family val="2"/>
      <charset val="186"/>
    </font>
    <font>
      <sz val="11"/>
      <color theme="1"/>
      <name val="Aptos Narrow"/>
      <family val="2"/>
      <scheme val="minor"/>
    </font>
    <font>
      <sz val="9"/>
      <color rgb="FF3B3B3B"/>
      <name val="Arial"/>
      <family val="2"/>
      <charset val="186"/>
    </font>
    <font>
      <b/>
      <sz val="9"/>
      <color rgb="FF3B3B3B"/>
      <name val="Arial"/>
      <family val="2"/>
      <charset val="186"/>
    </font>
    <font>
      <i/>
      <sz val="9"/>
      <color rgb="FF3B3B3B"/>
      <name val="Arial"/>
      <family val="2"/>
      <charset val="186"/>
    </font>
    <font>
      <b/>
      <sz val="11"/>
      <color rgb="FF3B3B3B"/>
      <name val="Arial"/>
      <family val="2"/>
      <charset val="186"/>
    </font>
    <font>
      <i/>
      <sz val="9"/>
      <color rgb="FF3B3B3B"/>
      <name val="Tahoma"/>
      <family val="2"/>
      <charset val="186"/>
    </font>
    <font>
      <b/>
      <sz val="10"/>
      <color rgb="FF3B3B3B"/>
      <name val="Arial"/>
      <family val="2"/>
      <charset val="186"/>
    </font>
    <font>
      <sz val="8"/>
      <color rgb="FF3B3B3B"/>
      <name val="Arial"/>
      <family val="2"/>
      <charset val="186"/>
    </font>
    <font>
      <sz val="9"/>
      <color rgb="FF3B3B3B"/>
      <name val="Tahoma"/>
      <family val="2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3">
    <xf numFmtId="0" fontId="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5" fillId="0" borderId="0"/>
  </cellStyleXfs>
  <cellXfs count="111">
    <xf numFmtId="0" fontId="0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7" fillId="0" borderId="0" xfId="0" applyNumberFormat="1" applyFont="1" applyFill="1" applyBorder="1" applyAlignment="1" applyProtection="1">
      <alignment horizontal="center" vertical="top" wrapText="1"/>
    </xf>
    <xf numFmtId="4" fontId="6" fillId="0" borderId="0" xfId="0" applyNumberFormat="1" applyFont="1" applyFill="1" applyBorder="1" applyAlignment="1" applyProtection="1">
      <alignment horizontal="center" vertical="top" wrapText="1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left" wrapText="1"/>
    </xf>
    <xf numFmtId="0" fontId="6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8" fillId="0" borderId="1" xfId="0" applyNumberFormat="1" applyFont="1" applyFill="1" applyBorder="1" applyAlignment="1" applyProtection="1">
      <alignment horizontal="right" vertical="top" wrapText="1"/>
    </xf>
    <xf numFmtId="0" fontId="7" fillId="2" borderId="1" xfId="0" applyNumberFormat="1" applyFont="1" applyFill="1" applyBorder="1" applyAlignment="1" applyProtection="1">
      <alignment horizontal="left" wrapText="1"/>
    </xf>
    <xf numFmtId="0" fontId="2" fillId="0" borderId="0" xfId="2" applyFont="1" applyAlignment="1">
      <alignment horizontal="right"/>
    </xf>
    <xf numFmtId="0" fontId="2" fillId="0" borderId="0" xfId="1" applyFont="1" applyAlignment="1">
      <alignment horizontal="right"/>
    </xf>
    <xf numFmtId="0" fontId="9" fillId="0" borderId="0" xfId="0" applyNumberFormat="1" applyFont="1" applyFill="1" applyBorder="1" applyAlignment="1" applyProtection="1">
      <alignment horizontal="left" vertical="top"/>
    </xf>
    <xf numFmtId="3" fontId="6" fillId="0" borderId="1" xfId="0" applyNumberFormat="1" applyFont="1" applyFill="1" applyBorder="1" applyAlignment="1" applyProtection="1">
      <alignment horizontal="right" vertical="top" wrapText="1"/>
    </xf>
    <xf numFmtId="3" fontId="7" fillId="0" borderId="1" xfId="0" applyNumberFormat="1" applyFont="1" applyFill="1" applyBorder="1" applyAlignment="1" applyProtection="1">
      <alignment horizontal="right" vertical="top" wrapText="1"/>
    </xf>
    <xf numFmtId="3" fontId="10" fillId="0" borderId="1" xfId="0" applyNumberFormat="1" applyFont="1" applyFill="1" applyBorder="1" applyAlignment="1" applyProtection="1">
      <alignment horizontal="right" vertical="top" wrapText="1"/>
    </xf>
    <xf numFmtId="3" fontId="8" fillId="0" borderId="1" xfId="0" applyNumberFormat="1" applyFont="1" applyFill="1" applyBorder="1" applyAlignment="1" applyProtection="1">
      <alignment horizontal="right" vertical="top" wrapText="1"/>
    </xf>
    <xf numFmtId="3" fontId="7" fillId="2" borderId="1" xfId="0" applyNumberFormat="1" applyFont="1" applyFill="1" applyBorder="1" applyAlignment="1" applyProtection="1">
      <alignment horizontal="right" vertical="top" wrapText="1"/>
    </xf>
    <xf numFmtId="0" fontId="8" fillId="0" borderId="1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center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wrapText="1"/>
    </xf>
    <xf numFmtId="164" fontId="6" fillId="0" borderId="1" xfId="0" applyNumberFormat="1" applyFont="1" applyFill="1" applyBorder="1" applyAlignment="1" applyProtection="1">
      <alignment horizontal="right" vertical="top" wrapText="1"/>
    </xf>
    <xf numFmtId="3" fontId="7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7" fillId="0" borderId="14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 wrapText="1"/>
    </xf>
    <xf numFmtId="2" fontId="7" fillId="0" borderId="1" xfId="0" applyNumberFormat="1" applyFont="1" applyFill="1" applyBorder="1" applyAlignment="1" applyProtection="1">
      <alignment horizontal="right" wrapText="1"/>
    </xf>
    <xf numFmtId="3" fontId="7" fillId="0" borderId="1" xfId="0" applyNumberFormat="1" applyFont="1" applyFill="1" applyBorder="1" applyAlignment="1" applyProtection="1">
      <alignment wrapText="1"/>
    </xf>
    <xf numFmtId="2" fontId="7" fillId="0" borderId="1" xfId="0" applyNumberFormat="1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wrapText="1"/>
    </xf>
    <xf numFmtId="2" fontId="6" fillId="0" borderId="1" xfId="0" applyNumberFormat="1" applyFont="1" applyFill="1" applyBorder="1" applyAlignment="1" applyProtection="1">
      <alignment wrapText="1"/>
    </xf>
    <xf numFmtId="2" fontId="6" fillId="0" borderId="1" xfId="0" applyNumberFormat="1" applyFont="1" applyFill="1" applyBorder="1" applyAlignment="1" applyProtection="1">
      <alignment horizontal="right" wrapText="1"/>
    </xf>
    <xf numFmtId="3" fontId="6" fillId="0" borderId="1" xfId="0" applyNumberFormat="1" applyFont="1" applyFill="1" applyBorder="1" applyAlignment="1" applyProtection="1">
      <alignment horizontal="right" wrapText="1"/>
    </xf>
    <xf numFmtId="3" fontId="7" fillId="2" borderId="1" xfId="0" applyNumberFormat="1" applyFont="1" applyFill="1" applyBorder="1" applyAlignment="1" applyProtection="1">
      <alignment horizontal="right" wrapText="1"/>
    </xf>
    <xf numFmtId="165" fontId="6" fillId="0" borderId="1" xfId="0" applyNumberFormat="1" applyFont="1" applyFill="1" applyBorder="1" applyAlignment="1" applyProtection="1">
      <alignment wrapText="1"/>
    </xf>
    <xf numFmtId="166" fontId="6" fillId="0" borderId="1" xfId="0" applyNumberFormat="1" applyFont="1" applyFill="1" applyBorder="1" applyAlignment="1" applyProtection="1">
      <alignment wrapText="1"/>
    </xf>
    <xf numFmtId="3" fontId="6" fillId="0" borderId="14" xfId="0" applyNumberFormat="1" applyFont="1" applyFill="1" applyBorder="1" applyAlignment="1" applyProtection="1">
      <alignment wrapText="1"/>
    </xf>
    <xf numFmtId="3" fontId="6" fillId="0" borderId="15" xfId="0" applyNumberFormat="1" applyFont="1" applyFill="1" applyBorder="1" applyAlignment="1" applyProtection="1">
      <alignment wrapText="1"/>
    </xf>
    <xf numFmtId="3" fontId="7" fillId="0" borderId="14" xfId="0" applyNumberFormat="1" applyFont="1" applyFill="1" applyBorder="1" applyAlignment="1" applyProtection="1">
      <alignment wrapText="1"/>
    </xf>
    <xf numFmtId="3" fontId="7" fillId="0" borderId="15" xfId="0" applyNumberFormat="1" applyFont="1" applyFill="1" applyBorder="1" applyAlignment="1" applyProtection="1">
      <alignment wrapText="1"/>
    </xf>
    <xf numFmtId="3" fontId="11" fillId="2" borderId="14" xfId="0" applyNumberFormat="1" applyFont="1" applyFill="1" applyBorder="1" applyAlignment="1" applyProtection="1">
      <alignment wrapText="1"/>
    </xf>
    <xf numFmtId="3" fontId="11" fillId="2" borderId="15" xfId="0" applyNumberFormat="1" applyFont="1" applyFill="1" applyBorder="1" applyAlignment="1" applyProtection="1">
      <alignment wrapText="1"/>
    </xf>
    <xf numFmtId="4" fontId="11" fillId="2" borderId="15" xfId="0" applyNumberFormat="1" applyFont="1" applyFill="1" applyBorder="1" applyAlignment="1" applyProtection="1">
      <alignment wrapText="1"/>
    </xf>
    <xf numFmtId="0" fontId="7" fillId="3" borderId="1" xfId="0" applyNumberFormat="1" applyFont="1" applyFill="1" applyBorder="1" applyAlignment="1" applyProtection="1">
      <alignment horizontal="left" wrapText="1"/>
    </xf>
    <xf numFmtId="3" fontId="7" fillId="3" borderId="1" xfId="0" applyNumberFormat="1" applyFont="1" applyFill="1" applyBorder="1" applyAlignment="1" applyProtection="1">
      <alignment wrapText="1"/>
    </xf>
    <xf numFmtId="2" fontId="7" fillId="3" borderId="1" xfId="0" applyNumberFormat="1" applyFont="1" applyFill="1" applyBorder="1" applyAlignment="1" applyProtection="1">
      <alignment wrapText="1"/>
    </xf>
    <xf numFmtId="0" fontId="7" fillId="3" borderId="1" xfId="0" applyNumberFormat="1" applyFont="1" applyFill="1" applyBorder="1" applyAlignment="1" applyProtection="1">
      <alignment horizontal="right" vertical="top" wrapText="1"/>
    </xf>
    <xf numFmtId="0" fontId="7" fillId="3" borderId="1" xfId="0" applyNumberFormat="1" applyFont="1" applyFill="1" applyBorder="1" applyAlignment="1" applyProtection="1">
      <alignment horizontal="right" vertical="center" wrapText="1"/>
    </xf>
    <xf numFmtId="3" fontId="7" fillId="3" borderId="1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right" vertical="top" wrapText="1"/>
    </xf>
    <xf numFmtId="0" fontId="7" fillId="4" borderId="1" xfId="0" applyNumberFormat="1" applyFont="1" applyFill="1" applyBorder="1" applyAlignment="1" applyProtection="1">
      <alignment horizontal="center" vertical="center" wrapText="1"/>
    </xf>
    <xf numFmtId="0" fontId="7" fillId="4" borderId="1" xfId="0" applyNumberFormat="1" applyFont="1" applyFill="1" applyBorder="1" applyAlignment="1" applyProtection="1">
      <alignment vertical="center" wrapText="1"/>
    </xf>
    <xf numFmtId="0" fontId="7" fillId="5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wrapText="1"/>
    </xf>
    <xf numFmtId="4" fontId="6" fillId="0" borderId="1" xfId="0" applyNumberFormat="1" applyFont="1" applyFill="1" applyBorder="1" applyAlignment="1" applyProtection="1">
      <alignment wrapText="1"/>
    </xf>
    <xf numFmtId="3" fontId="6" fillId="0" borderId="0" xfId="0" applyNumberFormat="1" applyFont="1" applyFill="1" applyBorder="1" applyAlignment="1" applyProtection="1">
      <alignment horizontal="center" vertical="top" wrapText="1"/>
    </xf>
    <xf numFmtId="164" fontId="6" fillId="0" borderId="1" xfId="0" applyNumberFormat="1" applyFont="1" applyFill="1" applyBorder="1" applyAlignment="1" applyProtection="1">
      <alignment wrapText="1"/>
    </xf>
    <xf numFmtId="164" fontId="8" fillId="0" borderId="1" xfId="0" applyNumberFormat="1" applyFont="1" applyFill="1" applyBorder="1" applyAlignment="1" applyProtection="1">
      <alignment wrapText="1"/>
    </xf>
    <xf numFmtId="164" fontId="7" fillId="3" borderId="1" xfId="0" applyNumberFormat="1" applyFont="1" applyFill="1" applyBorder="1" applyAlignment="1" applyProtection="1">
      <alignment wrapText="1"/>
    </xf>
    <xf numFmtId="164" fontId="7" fillId="2" borderId="1" xfId="0" applyNumberFormat="1" applyFont="1" applyFill="1" applyBorder="1" applyAlignment="1" applyProtection="1">
      <alignment horizontal="right" vertical="top" wrapText="1"/>
    </xf>
    <xf numFmtId="164" fontId="10" fillId="0" borderId="1" xfId="0" applyNumberFormat="1" applyFont="1" applyFill="1" applyBorder="1" applyAlignment="1" applyProtection="1">
      <alignment horizontal="right" vertical="top" wrapText="1"/>
    </xf>
    <xf numFmtId="164" fontId="13" fillId="0" borderId="1" xfId="0" applyNumberFormat="1" applyFont="1" applyFill="1" applyBorder="1" applyAlignment="1" applyProtection="1">
      <alignment horizontal="right" vertical="top" wrapText="1"/>
    </xf>
    <xf numFmtId="164" fontId="7" fillId="0" borderId="1" xfId="0" applyNumberFormat="1" applyFont="1" applyFill="1" applyBorder="1" applyAlignment="1" applyProtection="1">
      <alignment horizontal="right" vertical="top" wrapText="1"/>
    </xf>
    <xf numFmtId="164" fontId="7" fillId="3" borderId="1" xfId="0" applyNumberFormat="1" applyFont="1" applyFill="1" applyBorder="1" applyAlignment="1" applyProtection="1">
      <alignment horizontal="center" vertical="center" wrapText="1"/>
    </xf>
    <xf numFmtId="164" fontId="7" fillId="6" borderId="1" xfId="0" applyNumberFormat="1" applyFont="1" applyFill="1" applyBorder="1" applyAlignment="1" applyProtection="1">
      <alignment horizontal="center" vertical="center" wrapText="1"/>
    </xf>
    <xf numFmtId="164" fontId="7" fillId="0" borderId="1" xfId="0" applyNumberFormat="1" applyFont="1" applyFill="1" applyBorder="1" applyAlignment="1" applyProtection="1">
      <alignment wrapText="1"/>
    </xf>
    <xf numFmtId="164" fontId="6" fillId="0" borderId="1" xfId="0" applyNumberFormat="1" applyFont="1" applyFill="1" applyBorder="1" applyAlignment="1" applyProtection="1">
      <alignment horizontal="right" wrapText="1"/>
    </xf>
    <xf numFmtId="164" fontId="8" fillId="0" borderId="1" xfId="0" applyNumberFormat="1" applyFont="1" applyFill="1" applyBorder="1" applyAlignment="1" applyProtection="1">
      <alignment horizontal="right" wrapText="1"/>
    </xf>
    <xf numFmtId="0" fontId="7" fillId="2" borderId="4" xfId="0" applyNumberFormat="1" applyFont="1" applyFill="1" applyBorder="1" applyAlignment="1" applyProtection="1">
      <alignment horizontal="center" wrapText="1"/>
    </xf>
    <xf numFmtId="0" fontId="7" fillId="2" borderId="0" xfId="0" applyNumberFormat="1" applyFont="1" applyFill="1" applyBorder="1" applyAlignment="1" applyProtection="1">
      <alignment horizontal="center" wrapText="1"/>
    </xf>
    <xf numFmtId="0" fontId="7" fillId="3" borderId="4" xfId="0" applyNumberFormat="1" applyFont="1" applyFill="1" applyBorder="1" applyAlignment="1" applyProtection="1">
      <alignment horizontal="left" wrapText="1"/>
    </xf>
    <xf numFmtId="0" fontId="7" fillId="3" borderId="0" xfId="0" applyNumberFormat="1" applyFont="1" applyFill="1" applyBorder="1" applyAlignment="1" applyProtection="1">
      <alignment horizontal="left" wrapText="1"/>
    </xf>
    <xf numFmtId="0" fontId="7" fillId="3" borderId="2" xfId="0" applyNumberFormat="1" applyFont="1" applyFill="1" applyBorder="1" applyAlignment="1" applyProtection="1">
      <alignment horizontal="left" wrapText="1"/>
    </xf>
    <xf numFmtId="0" fontId="7" fillId="3" borderId="3" xfId="0" applyNumberFormat="1" applyFont="1" applyFill="1" applyBorder="1" applyAlignment="1" applyProtection="1">
      <alignment horizontal="left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3" borderId="7" xfId="0" applyNumberFormat="1" applyFont="1" applyFill="1" applyBorder="1" applyAlignment="1" applyProtection="1">
      <alignment horizontal="center" vertical="center" wrapText="1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9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top" wrapText="1"/>
    </xf>
    <xf numFmtId="0" fontId="7" fillId="2" borderId="3" xfId="0" applyNumberFormat="1" applyFont="1" applyFill="1" applyBorder="1" applyAlignment="1" applyProtection="1">
      <alignment horizontal="center" vertical="top" wrapText="1"/>
    </xf>
    <xf numFmtId="0" fontId="11" fillId="3" borderId="2" xfId="0" applyNumberFormat="1" applyFont="1" applyFill="1" applyBorder="1" applyAlignment="1" applyProtection="1">
      <alignment horizontal="center" wrapText="1"/>
    </xf>
    <xf numFmtId="0" fontId="11" fillId="3" borderId="3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6" fillId="0" borderId="7" xfId="0" applyNumberFormat="1" applyFont="1" applyFill="1" applyBorder="1" applyAlignment="1" applyProtection="1">
      <alignment horizontal="left" wrapText="1"/>
    </xf>
    <xf numFmtId="0" fontId="6" fillId="0" borderId="8" xfId="0" applyNumberFormat="1" applyFont="1" applyFill="1" applyBorder="1" applyAlignment="1" applyProtection="1">
      <alignment horizontal="left" wrapText="1"/>
    </xf>
    <xf numFmtId="0" fontId="6" fillId="0" borderId="9" xfId="0" applyNumberFormat="1" applyFont="1" applyFill="1" applyBorder="1" applyAlignment="1" applyProtection="1">
      <alignment horizontal="left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0" fontId="6" fillId="0" borderId="17" xfId="0" applyNumberFormat="1" applyFont="1" applyFill="1" applyBorder="1" applyAlignment="1" applyProtection="1">
      <alignment horizontal="left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7" fillId="2" borderId="7" xfId="0" applyNumberFormat="1" applyFont="1" applyFill="1" applyBorder="1" applyAlignment="1" applyProtection="1">
      <alignment horizontal="right" vertical="top" wrapText="1"/>
    </xf>
    <xf numFmtId="0" fontId="7" fillId="2" borderId="8" xfId="0" applyNumberFormat="1" applyFont="1" applyFill="1" applyBorder="1" applyAlignment="1" applyProtection="1">
      <alignment horizontal="right" vertical="top" wrapText="1"/>
    </xf>
    <xf numFmtId="0" fontId="7" fillId="2" borderId="9" xfId="0" applyNumberFormat="1" applyFont="1" applyFill="1" applyBorder="1" applyAlignment="1" applyProtection="1">
      <alignment horizontal="right" vertical="top" wrapText="1"/>
    </xf>
    <xf numFmtId="0" fontId="7" fillId="0" borderId="14" xfId="0" applyNumberFormat="1" applyFont="1" applyFill="1" applyBorder="1" applyAlignment="1" applyProtection="1">
      <alignment horizontal="left" vertical="top" wrapText="1"/>
    </xf>
    <xf numFmtId="0" fontId="6" fillId="0" borderId="15" xfId="0" applyNumberFormat="1" applyFont="1" applyFill="1" applyBorder="1" applyAlignment="1" applyProtection="1">
      <alignment horizontal="left" vertical="top" wrapText="1"/>
    </xf>
    <xf numFmtId="0" fontId="6" fillId="0" borderId="16" xfId="0" applyNumberFormat="1" applyFont="1" applyFill="1" applyBorder="1" applyAlignment="1" applyProtection="1">
      <alignment horizontal="left" vertical="top" wrapText="1"/>
    </xf>
    <xf numFmtId="0" fontId="12" fillId="0" borderId="0" xfId="0" applyNumberFormat="1" applyFont="1" applyFill="1" applyBorder="1" applyAlignment="1" applyProtection="1">
      <alignment horizontal="left" vertical="top" wrapText="1"/>
    </xf>
    <xf numFmtId="0" fontId="11" fillId="2" borderId="14" xfId="0" applyNumberFormat="1" applyFont="1" applyFill="1" applyBorder="1" applyAlignment="1" applyProtection="1">
      <alignment horizontal="right" vertical="top" wrapText="1"/>
    </xf>
  </cellXfs>
  <cellStyles count="3">
    <cellStyle name="Normal" xfId="0" builtinId="0"/>
    <cellStyle name="Normal 3 4" xfId="1" xr:uid="{00000000-0005-0000-0000-000001000000}"/>
    <cellStyle name="Normal 3 4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X71"/>
  <sheetViews>
    <sheetView tabSelected="1" showOutlineSymbols="0" zoomScale="85" zoomScaleNormal="85" workbookViewId="0">
      <pane xSplit="1" ySplit="8" topLeftCell="B61" activePane="bottomRight" state="frozen"/>
      <selection pane="topRight" activeCell="B1" sqref="B1"/>
      <selection pane="bottomLeft" activeCell="A9" sqref="A9"/>
      <selection pane="bottomRight" activeCell="X20" sqref="X20"/>
    </sheetView>
  </sheetViews>
  <sheetFormatPr defaultColWidth="14.125" defaultRowHeight="15" customHeight="1" x14ac:dyDescent="0.3"/>
  <cols>
    <col min="1" max="1" width="59.5" style="3" customWidth="1"/>
    <col min="2" max="17" width="15.125" style="3" customWidth="1"/>
    <col min="18" max="21" width="15.625" style="4" customWidth="1"/>
    <col min="22" max="22" width="10.875" style="3" customWidth="1"/>
    <col min="23" max="16384" width="14.125" style="3"/>
  </cols>
  <sheetData>
    <row r="1" spans="1:22" ht="15" customHeight="1" x14ac:dyDescent="0.2">
      <c r="V1" s="12" t="s">
        <v>172</v>
      </c>
    </row>
    <row r="2" spans="1:22" ht="15" customHeight="1" x14ac:dyDescent="0.2">
      <c r="V2" s="13" t="s">
        <v>173</v>
      </c>
    </row>
    <row r="3" spans="1:22" ht="15" customHeight="1" x14ac:dyDescent="0.2">
      <c r="V3" s="13" t="s">
        <v>174</v>
      </c>
    </row>
    <row r="5" spans="1:22" ht="15" customHeight="1" x14ac:dyDescent="0.3">
      <c r="A5" s="14" t="s">
        <v>171</v>
      </c>
    </row>
    <row r="6" spans="1:22" s="1" customFormat="1" ht="24.75" customHeight="1" x14ac:dyDescent="0.2">
      <c r="A6" s="78" t="s">
        <v>48</v>
      </c>
      <c r="B6" s="80" t="s">
        <v>57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2"/>
      <c r="N6" s="80" t="s">
        <v>153</v>
      </c>
      <c r="O6" s="81"/>
      <c r="P6" s="81"/>
      <c r="Q6" s="82"/>
      <c r="R6" s="83" t="s">
        <v>56</v>
      </c>
      <c r="S6" s="84"/>
      <c r="T6" s="84"/>
      <c r="U6" s="85"/>
      <c r="V6" s="86" t="s">
        <v>150</v>
      </c>
    </row>
    <row r="7" spans="1:22" s="1" customFormat="1" ht="75" customHeight="1" x14ac:dyDescent="0.2">
      <c r="A7" s="79"/>
      <c r="B7" s="54" t="s">
        <v>59</v>
      </c>
      <c r="C7" s="22" t="s">
        <v>156</v>
      </c>
      <c r="D7" s="22" t="s">
        <v>161</v>
      </c>
      <c r="E7" s="56" t="s">
        <v>162</v>
      </c>
      <c r="F7" s="54" t="s">
        <v>61</v>
      </c>
      <c r="G7" s="22" t="s">
        <v>157</v>
      </c>
      <c r="H7" s="22" t="s">
        <v>163</v>
      </c>
      <c r="I7" s="56" t="s">
        <v>164</v>
      </c>
      <c r="J7" s="54" t="s">
        <v>60</v>
      </c>
      <c r="K7" s="22" t="s">
        <v>158</v>
      </c>
      <c r="L7" s="22" t="s">
        <v>165</v>
      </c>
      <c r="M7" s="56" t="s">
        <v>166</v>
      </c>
      <c r="N7" s="55" t="s">
        <v>153</v>
      </c>
      <c r="O7" s="22" t="s">
        <v>159</v>
      </c>
      <c r="P7" s="22" t="s">
        <v>167</v>
      </c>
      <c r="Q7" s="56" t="s">
        <v>168</v>
      </c>
      <c r="R7" s="54" t="s">
        <v>160</v>
      </c>
      <c r="S7" s="22" t="s">
        <v>155</v>
      </c>
      <c r="T7" s="22" t="s">
        <v>169</v>
      </c>
      <c r="U7" s="56" t="s">
        <v>170</v>
      </c>
      <c r="V7" s="86"/>
    </row>
    <row r="8" spans="1:22" ht="15.75" customHeight="1" x14ac:dyDescent="0.3">
      <c r="A8" s="87" t="s">
        <v>27</v>
      </c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</row>
    <row r="9" spans="1:22" s="4" customFormat="1" ht="15.75" customHeight="1" x14ac:dyDescent="0.25">
      <c r="A9" s="6" t="s">
        <v>23</v>
      </c>
      <c r="B9" s="31">
        <f>SUM(B10:B12)</f>
        <v>36326961</v>
      </c>
      <c r="C9" s="31">
        <f>SUM(C10:C12)</f>
        <v>0</v>
      </c>
      <c r="D9" s="31">
        <f>SUM(D10:D12)</f>
        <v>0</v>
      </c>
      <c r="E9" s="31">
        <f>SUM(B9:D9)</f>
        <v>36326961</v>
      </c>
      <c r="F9" s="31">
        <f>SUM(F10:F12)</f>
        <v>0</v>
      </c>
      <c r="G9" s="69">
        <f>SUM(G10:G12)</f>
        <v>0</v>
      </c>
      <c r="H9" s="69">
        <f>SUM(H10:H12)</f>
        <v>0</v>
      </c>
      <c r="I9" s="31">
        <f>SUM(F9:H9)</f>
        <v>0</v>
      </c>
      <c r="J9" s="31">
        <f>SUM(J10:J12)</f>
        <v>846048</v>
      </c>
      <c r="K9" s="31">
        <f>SUM(K10:K12)</f>
        <v>0</v>
      </c>
      <c r="L9" s="31">
        <f>SUM(L10:L12)</f>
        <v>0</v>
      </c>
      <c r="M9" s="31">
        <f>SUM(J9:L9)</f>
        <v>846048</v>
      </c>
      <c r="N9" s="57">
        <f>SUM(N10:N12)</f>
        <v>0</v>
      </c>
      <c r="O9" s="57">
        <f t="shared" ref="O9:Q9" si="0">SUM(O10:O12)</f>
        <v>0</v>
      </c>
      <c r="P9" s="57">
        <f t="shared" ref="P9" si="1">SUM(P10:P12)</f>
        <v>0</v>
      </c>
      <c r="Q9" s="57">
        <f t="shared" si="0"/>
        <v>0</v>
      </c>
      <c r="R9" s="31">
        <f>B9+F9+J9+N9</f>
        <v>37173009</v>
      </c>
      <c r="S9" s="69">
        <f>C9+G9+K9+O9</f>
        <v>0</v>
      </c>
      <c r="T9" s="69">
        <f>D9+H9+L9+P9</f>
        <v>0</v>
      </c>
      <c r="U9" s="31">
        <f>R9+S9</f>
        <v>37173009</v>
      </c>
      <c r="V9" s="34">
        <f>U9*100/$U$32</f>
        <v>52.775020142184303</v>
      </c>
    </row>
    <row r="10" spans="1:22" ht="15.75" customHeight="1" x14ac:dyDescent="0.2">
      <c r="A10" s="8" t="s">
        <v>8</v>
      </c>
      <c r="B10" s="33">
        <v>32234262</v>
      </c>
      <c r="C10" s="33">
        <v>0</v>
      </c>
      <c r="D10" s="33">
        <v>0</v>
      </c>
      <c r="E10" s="33">
        <f>SUM(B10:D10)</f>
        <v>32234262</v>
      </c>
      <c r="F10" s="33">
        <v>0</v>
      </c>
      <c r="G10" s="60">
        <v>0</v>
      </c>
      <c r="H10" s="60">
        <v>0</v>
      </c>
      <c r="I10" s="33">
        <f>SUM(F10:H10)</f>
        <v>0</v>
      </c>
      <c r="J10" s="33">
        <v>0</v>
      </c>
      <c r="K10" s="33">
        <v>0</v>
      </c>
      <c r="L10" s="33">
        <v>0</v>
      </c>
      <c r="M10" s="33">
        <f>SUM(J10:L10)</f>
        <v>0</v>
      </c>
      <c r="N10" s="58">
        <v>0</v>
      </c>
      <c r="O10" s="33">
        <v>0</v>
      </c>
      <c r="P10" s="33">
        <v>0</v>
      </c>
      <c r="Q10" s="33">
        <f>SUM(N10:P10)</f>
        <v>0</v>
      </c>
      <c r="R10" s="33">
        <f t="shared" ref="R10:R31" si="2">B10+F10+J10+N10</f>
        <v>32234262</v>
      </c>
      <c r="S10" s="60">
        <f t="shared" ref="S10:T31" si="3">C10+G10+K10+O10</f>
        <v>0</v>
      </c>
      <c r="T10" s="60">
        <f t="shared" si="3"/>
        <v>0</v>
      </c>
      <c r="U10" s="33">
        <f t="shared" ref="U10:U31" si="4">R10+S10</f>
        <v>32234262</v>
      </c>
      <c r="V10" s="34">
        <f t="shared" ref="V10:V31" si="5">U10*100/$U$32</f>
        <v>45.763414694743865</v>
      </c>
    </row>
    <row r="11" spans="1:22" ht="15.75" customHeight="1" x14ac:dyDescent="0.2">
      <c r="A11" s="8" t="s">
        <v>10</v>
      </c>
      <c r="B11" s="33">
        <v>4092699</v>
      </c>
      <c r="C11" s="33">
        <v>0</v>
      </c>
      <c r="D11" s="33">
        <v>0</v>
      </c>
      <c r="E11" s="33">
        <f t="shared" ref="E11:E12" si="6">SUM(B11:D11)</f>
        <v>4092699</v>
      </c>
      <c r="F11" s="33">
        <v>0</v>
      </c>
      <c r="G11" s="60">
        <v>0</v>
      </c>
      <c r="H11" s="60">
        <v>0</v>
      </c>
      <c r="I11" s="33">
        <f t="shared" ref="I11:I31" si="7">SUM(F11:H11)</f>
        <v>0</v>
      </c>
      <c r="J11" s="33">
        <v>0</v>
      </c>
      <c r="K11" s="33">
        <v>0</v>
      </c>
      <c r="L11" s="33">
        <v>0</v>
      </c>
      <c r="M11" s="33">
        <f t="shared" ref="M11:M12" si="8">SUM(J11:L11)</f>
        <v>0</v>
      </c>
      <c r="N11" s="33">
        <v>0</v>
      </c>
      <c r="O11" s="33">
        <v>0</v>
      </c>
      <c r="P11" s="33">
        <v>0</v>
      </c>
      <c r="Q11" s="33">
        <f t="shared" ref="Q11:Q12" si="9">SUM(N11:P11)</f>
        <v>0</v>
      </c>
      <c r="R11" s="33">
        <f t="shared" si="2"/>
        <v>4092699</v>
      </c>
      <c r="S11" s="60">
        <f t="shared" si="3"/>
        <v>0</v>
      </c>
      <c r="T11" s="60">
        <f t="shared" si="3"/>
        <v>0</v>
      </c>
      <c r="U11" s="33">
        <f t="shared" si="4"/>
        <v>4092699</v>
      </c>
      <c r="V11" s="34">
        <f t="shared" si="5"/>
        <v>5.8104597387017431</v>
      </c>
    </row>
    <row r="12" spans="1:22" ht="29.25" customHeight="1" x14ac:dyDescent="0.2">
      <c r="A12" s="8" t="s">
        <v>35</v>
      </c>
      <c r="B12" s="33">
        <v>0</v>
      </c>
      <c r="C12" s="33">
        <v>0</v>
      </c>
      <c r="D12" s="33">
        <v>0</v>
      </c>
      <c r="E12" s="33">
        <f t="shared" si="6"/>
        <v>0</v>
      </c>
      <c r="F12" s="33">
        <v>0</v>
      </c>
      <c r="G12" s="60">
        <v>0</v>
      </c>
      <c r="H12" s="60">
        <v>0</v>
      </c>
      <c r="I12" s="33">
        <f t="shared" si="7"/>
        <v>0</v>
      </c>
      <c r="J12" s="33">
        <v>846048</v>
      </c>
      <c r="K12" s="33">
        <v>0</v>
      </c>
      <c r="L12" s="33">
        <v>0</v>
      </c>
      <c r="M12" s="33">
        <f t="shared" si="8"/>
        <v>846048</v>
      </c>
      <c r="N12" s="33">
        <v>0</v>
      </c>
      <c r="O12" s="33">
        <v>0</v>
      </c>
      <c r="P12" s="33">
        <v>0</v>
      </c>
      <c r="Q12" s="33">
        <f t="shared" si="9"/>
        <v>0</v>
      </c>
      <c r="R12" s="33">
        <f t="shared" si="2"/>
        <v>846048</v>
      </c>
      <c r="S12" s="60">
        <f t="shared" si="3"/>
        <v>0</v>
      </c>
      <c r="T12" s="60">
        <f t="shared" si="3"/>
        <v>0</v>
      </c>
      <c r="U12" s="33">
        <f t="shared" si="4"/>
        <v>846048</v>
      </c>
      <c r="V12" s="34">
        <f t="shared" si="5"/>
        <v>1.2011457087386912</v>
      </c>
    </row>
    <row r="13" spans="1:22" s="4" customFormat="1" ht="15.75" customHeight="1" x14ac:dyDescent="0.25">
      <c r="A13" s="7" t="s">
        <v>24</v>
      </c>
      <c r="B13" s="31">
        <f>SUM(B14:B22)</f>
        <v>2102444</v>
      </c>
      <c r="C13" s="31">
        <f>SUM(C14:C22)</f>
        <v>5000</v>
      </c>
      <c r="D13" s="31">
        <f>SUM(D14:D22)</f>
        <v>0</v>
      </c>
      <c r="E13" s="31">
        <f>SUM(B13:D13)</f>
        <v>2107444</v>
      </c>
      <c r="F13" s="31">
        <f>SUM(F14:F22)</f>
        <v>0</v>
      </c>
      <c r="G13" s="69">
        <f>SUM(G14:G22)</f>
        <v>36</v>
      </c>
      <c r="H13" s="69">
        <f>SUM(H14:H22)</f>
        <v>0</v>
      </c>
      <c r="I13" s="31">
        <f>SUM(F13:H13)</f>
        <v>36</v>
      </c>
      <c r="J13" s="31">
        <f>SUM(J14:J22)</f>
        <v>0</v>
      </c>
      <c r="K13" s="31">
        <f>SUM(K14:K22)</f>
        <v>0</v>
      </c>
      <c r="L13" s="31">
        <f>SUM(L14:L22)</f>
        <v>0</v>
      </c>
      <c r="M13" s="31">
        <f>SUM(J13:L13)</f>
        <v>0</v>
      </c>
      <c r="N13" s="31">
        <f>SUM(N14:N22)</f>
        <v>0</v>
      </c>
      <c r="O13" s="31">
        <f t="shared" ref="O13:Q13" si="10">SUM(O14:O22)</f>
        <v>0</v>
      </c>
      <c r="P13" s="31">
        <f t="shared" ref="P13" si="11">SUM(P14:P22)</f>
        <v>0</v>
      </c>
      <c r="Q13" s="31">
        <f t="shared" si="10"/>
        <v>0</v>
      </c>
      <c r="R13" s="31">
        <f t="shared" si="2"/>
        <v>2102444</v>
      </c>
      <c r="S13" s="69">
        <f t="shared" si="3"/>
        <v>5036</v>
      </c>
      <c r="T13" s="69">
        <f t="shared" si="3"/>
        <v>0</v>
      </c>
      <c r="U13" s="31">
        <f t="shared" si="4"/>
        <v>2107480</v>
      </c>
      <c r="V13" s="34">
        <f t="shared" si="5"/>
        <v>2.9920176612350797</v>
      </c>
    </row>
    <row r="14" spans="1:22" ht="29.25" customHeight="1" x14ac:dyDescent="0.2">
      <c r="A14" s="8" t="s">
        <v>3</v>
      </c>
      <c r="B14" s="33">
        <v>41473</v>
      </c>
      <c r="C14" s="33">
        <v>0</v>
      </c>
      <c r="D14" s="33">
        <v>0</v>
      </c>
      <c r="E14" s="33">
        <f>SUM(B14:D14)</f>
        <v>41473</v>
      </c>
      <c r="F14" s="33">
        <v>0</v>
      </c>
      <c r="G14" s="60">
        <v>0</v>
      </c>
      <c r="H14" s="60">
        <v>0</v>
      </c>
      <c r="I14" s="33">
        <f t="shared" si="7"/>
        <v>0</v>
      </c>
      <c r="J14" s="33">
        <v>0</v>
      </c>
      <c r="K14" s="33">
        <v>0</v>
      </c>
      <c r="L14" s="33">
        <v>0</v>
      </c>
      <c r="M14" s="33">
        <f t="shared" ref="M14:M22" si="12">SUM(J14:L14)</f>
        <v>0</v>
      </c>
      <c r="N14" s="33">
        <v>0</v>
      </c>
      <c r="O14" s="33">
        <v>0</v>
      </c>
      <c r="P14" s="33">
        <v>0</v>
      </c>
      <c r="Q14" s="33">
        <f>SUM(N14:P14)</f>
        <v>0</v>
      </c>
      <c r="R14" s="33">
        <f t="shared" si="2"/>
        <v>41473</v>
      </c>
      <c r="S14" s="60">
        <f t="shared" si="3"/>
        <v>0</v>
      </c>
      <c r="T14" s="60">
        <f t="shared" si="3"/>
        <v>0</v>
      </c>
      <c r="U14" s="33">
        <f t="shared" si="4"/>
        <v>41473</v>
      </c>
      <c r="V14" s="34">
        <f t="shared" si="5"/>
        <v>5.8879775117392556E-2</v>
      </c>
    </row>
    <row r="15" spans="1:22" ht="15.75" customHeight="1" x14ac:dyDescent="0.2">
      <c r="A15" s="8" t="s">
        <v>14</v>
      </c>
      <c r="B15" s="33">
        <v>9465</v>
      </c>
      <c r="C15" s="33">
        <v>0</v>
      </c>
      <c r="D15" s="33">
        <v>0</v>
      </c>
      <c r="E15" s="33">
        <f t="shared" ref="E15:E22" si="13">SUM(B15:D15)</f>
        <v>9465</v>
      </c>
      <c r="F15" s="33">
        <v>0</v>
      </c>
      <c r="G15" s="60">
        <v>0</v>
      </c>
      <c r="H15" s="60">
        <v>0</v>
      </c>
      <c r="I15" s="33">
        <f t="shared" si="7"/>
        <v>0</v>
      </c>
      <c r="J15" s="33">
        <v>0</v>
      </c>
      <c r="K15" s="33">
        <v>0</v>
      </c>
      <c r="L15" s="33">
        <v>0</v>
      </c>
      <c r="M15" s="33">
        <f t="shared" si="12"/>
        <v>0</v>
      </c>
      <c r="N15" s="33">
        <v>0</v>
      </c>
      <c r="O15" s="33">
        <v>0</v>
      </c>
      <c r="P15" s="33">
        <v>0</v>
      </c>
      <c r="Q15" s="33">
        <f t="shared" ref="Q15:Q22" si="14">SUM(N15:P15)</f>
        <v>0</v>
      </c>
      <c r="R15" s="33">
        <f t="shared" si="2"/>
        <v>9465</v>
      </c>
      <c r="S15" s="60">
        <f t="shared" si="3"/>
        <v>0</v>
      </c>
      <c r="T15" s="60">
        <f t="shared" si="3"/>
        <v>0</v>
      </c>
      <c r="U15" s="33">
        <f t="shared" si="4"/>
        <v>9465</v>
      </c>
      <c r="V15" s="34">
        <f t="shared" si="5"/>
        <v>1.3437587622938309E-2</v>
      </c>
    </row>
    <row r="16" spans="1:22" ht="15.75" customHeight="1" x14ac:dyDescent="0.2">
      <c r="A16" s="8" t="s">
        <v>5</v>
      </c>
      <c r="B16" s="33">
        <v>20530</v>
      </c>
      <c r="C16" s="33">
        <v>0</v>
      </c>
      <c r="D16" s="33">
        <v>0</v>
      </c>
      <c r="E16" s="33">
        <f t="shared" si="13"/>
        <v>20530</v>
      </c>
      <c r="F16" s="33">
        <v>0</v>
      </c>
      <c r="G16" s="60">
        <v>0</v>
      </c>
      <c r="H16" s="60">
        <v>0</v>
      </c>
      <c r="I16" s="33">
        <f t="shared" si="7"/>
        <v>0</v>
      </c>
      <c r="J16" s="33">
        <v>0</v>
      </c>
      <c r="K16" s="33">
        <v>0</v>
      </c>
      <c r="L16" s="33">
        <v>0</v>
      </c>
      <c r="M16" s="33">
        <f t="shared" si="12"/>
        <v>0</v>
      </c>
      <c r="N16" s="33">
        <v>0</v>
      </c>
      <c r="O16" s="33">
        <v>0</v>
      </c>
      <c r="P16" s="33">
        <v>0</v>
      </c>
      <c r="Q16" s="33">
        <f t="shared" si="14"/>
        <v>0</v>
      </c>
      <c r="R16" s="33">
        <f t="shared" si="2"/>
        <v>20530</v>
      </c>
      <c r="S16" s="60">
        <f t="shared" si="3"/>
        <v>0</v>
      </c>
      <c r="T16" s="60">
        <f t="shared" si="3"/>
        <v>0</v>
      </c>
      <c r="U16" s="33">
        <f t="shared" si="4"/>
        <v>20530</v>
      </c>
      <c r="V16" s="34">
        <f t="shared" si="5"/>
        <v>2.9146716735226993E-2</v>
      </c>
    </row>
    <row r="17" spans="1:22" ht="15.75" customHeight="1" x14ac:dyDescent="0.2">
      <c r="A17" s="8" t="s">
        <v>13</v>
      </c>
      <c r="B17" s="33">
        <v>17300</v>
      </c>
      <c r="C17" s="33">
        <v>0</v>
      </c>
      <c r="D17" s="33">
        <v>0</v>
      </c>
      <c r="E17" s="33">
        <f t="shared" si="13"/>
        <v>17300</v>
      </c>
      <c r="F17" s="33">
        <v>0</v>
      </c>
      <c r="G17" s="60">
        <v>0</v>
      </c>
      <c r="H17" s="60">
        <v>0</v>
      </c>
      <c r="I17" s="33">
        <f t="shared" si="7"/>
        <v>0</v>
      </c>
      <c r="J17" s="33">
        <v>0</v>
      </c>
      <c r="K17" s="33">
        <v>0</v>
      </c>
      <c r="L17" s="33">
        <v>0</v>
      </c>
      <c r="M17" s="33">
        <f t="shared" si="12"/>
        <v>0</v>
      </c>
      <c r="N17" s="33">
        <v>0</v>
      </c>
      <c r="O17" s="33">
        <v>0</v>
      </c>
      <c r="P17" s="33">
        <v>0</v>
      </c>
      <c r="Q17" s="33">
        <f t="shared" si="14"/>
        <v>0</v>
      </c>
      <c r="R17" s="33">
        <f t="shared" si="2"/>
        <v>17300</v>
      </c>
      <c r="S17" s="60">
        <f t="shared" si="3"/>
        <v>0</v>
      </c>
      <c r="T17" s="60">
        <f t="shared" si="3"/>
        <v>0</v>
      </c>
      <c r="U17" s="33">
        <f t="shared" si="4"/>
        <v>17300</v>
      </c>
      <c r="V17" s="34">
        <f t="shared" si="5"/>
        <v>2.4561042353600925E-2</v>
      </c>
    </row>
    <row r="18" spans="1:22" ht="30.75" customHeight="1" x14ac:dyDescent="0.2">
      <c r="A18" s="8" t="s">
        <v>9</v>
      </c>
      <c r="B18" s="33">
        <v>7100</v>
      </c>
      <c r="C18" s="33">
        <v>0</v>
      </c>
      <c r="D18" s="33">
        <v>0</v>
      </c>
      <c r="E18" s="33">
        <f t="shared" si="13"/>
        <v>7100</v>
      </c>
      <c r="F18" s="33">
        <v>0</v>
      </c>
      <c r="G18" s="60">
        <v>0</v>
      </c>
      <c r="H18" s="60">
        <v>0</v>
      </c>
      <c r="I18" s="33">
        <f t="shared" si="7"/>
        <v>0</v>
      </c>
      <c r="J18" s="33">
        <v>0</v>
      </c>
      <c r="K18" s="33">
        <v>0</v>
      </c>
      <c r="L18" s="33">
        <v>0</v>
      </c>
      <c r="M18" s="33">
        <f t="shared" si="12"/>
        <v>0</v>
      </c>
      <c r="N18" s="33">
        <v>0</v>
      </c>
      <c r="O18" s="33">
        <v>0</v>
      </c>
      <c r="P18" s="33">
        <v>0</v>
      </c>
      <c r="Q18" s="33">
        <f t="shared" si="14"/>
        <v>0</v>
      </c>
      <c r="R18" s="33">
        <f t="shared" si="2"/>
        <v>7100</v>
      </c>
      <c r="S18" s="60">
        <f t="shared" si="3"/>
        <v>0</v>
      </c>
      <c r="T18" s="60">
        <f t="shared" si="3"/>
        <v>0</v>
      </c>
      <c r="U18" s="33">
        <f t="shared" si="4"/>
        <v>7100</v>
      </c>
      <c r="V18" s="34">
        <f t="shared" si="5"/>
        <v>1.0079965358992287E-2</v>
      </c>
    </row>
    <row r="19" spans="1:22" ht="15" customHeight="1" x14ac:dyDescent="0.2">
      <c r="A19" s="8" t="s">
        <v>12</v>
      </c>
      <c r="B19" s="33">
        <v>11380</v>
      </c>
      <c r="C19" s="33">
        <v>5000</v>
      </c>
      <c r="D19" s="33">
        <v>0</v>
      </c>
      <c r="E19" s="33">
        <f t="shared" si="13"/>
        <v>16380</v>
      </c>
      <c r="F19" s="33">
        <v>0</v>
      </c>
      <c r="G19" s="60">
        <v>36</v>
      </c>
      <c r="H19" s="60">
        <v>0</v>
      </c>
      <c r="I19" s="33">
        <f t="shared" si="7"/>
        <v>36</v>
      </c>
      <c r="J19" s="33">
        <v>0</v>
      </c>
      <c r="K19" s="33">
        <v>0</v>
      </c>
      <c r="L19" s="33">
        <v>0</v>
      </c>
      <c r="M19" s="33">
        <f t="shared" si="12"/>
        <v>0</v>
      </c>
      <c r="N19" s="33">
        <v>0</v>
      </c>
      <c r="O19" s="33">
        <v>0</v>
      </c>
      <c r="P19" s="33">
        <v>0</v>
      </c>
      <c r="Q19" s="33">
        <f t="shared" si="14"/>
        <v>0</v>
      </c>
      <c r="R19" s="33">
        <f t="shared" si="2"/>
        <v>11380</v>
      </c>
      <c r="S19" s="60">
        <f t="shared" si="3"/>
        <v>5036</v>
      </c>
      <c r="T19" s="60">
        <f t="shared" si="3"/>
        <v>0</v>
      </c>
      <c r="U19" s="33">
        <f t="shared" si="4"/>
        <v>16416</v>
      </c>
      <c r="V19" s="34">
        <f t="shared" si="5"/>
        <v>2.3306015680734843E-2</v>
      </c>
    </row>
    <row r="20" spans="1:22" ht="18" customHeight="1" x14ac:dyDescent="0.2">
      <c r="A20" s="8" t="s">
        <v>7</v>
      </c>
      <c r="B20" s="33">
        <v>66011</v>
      </c>
      <c r="C20" s="33">
        <v>0</v>
      </c>
      <c r="D20" s="33">
        <v>0</v>
      </c>
      <c r="E20" s="33">
        <f t="shared" si="13"/>
        <v>66011</v>
      </c>
      <c r="F20" s="33">
        <v>0</v>
      </c>
      <c r="G20" s="60">
        <v>0</v>
      </c>
      <c r="H20" s="60">
        <v>0</v>
      </c>
      <c r="I20" s="33">
        <f t="shared" si="7"/>
        <v>0</v>
      </c>
      <c r="J20" s="33">
        <v>0</v>
      </c>
      <c r="K20" s="33">
        <v>0</v>
      </c>
      <c r="L20" s="33">
        <v>0</v>
      </c>
      <c r="M20" s="33">
        <f t="shared" si="12"/>
        <v>0</v>
      </c>
      <c r="N20" s="33">
        <v>0</v>
      </c>
      <c r="O20" s="33">
        <v>0</v>
      </c>
      <c r="P20" s="33">
        <v>0</v>
      </c>
      <c r="Q20" s="33">
        <f t="shared" si="14"/>
        <v>0</v>
      </c>
      <c r="R20" s="33">
        <f t="shared" si="2"/>
        <v>66011</v>
      </c>
      <c r="S20" s="60">
        <f t="shared" si="3"/>
        <v>0</v>
      </c>
      <c r="T20" s="60">
        <f t="shared" si="3"/>
        <v>0</v>
      </c>
      <c r="U20" s="33">
        <f t="shared" si="4"/>
        <v>66011</v>
      </c>
      <c r="V20" s="34">
        <f t="shared" si="5"/>
        <v>9.371670328344224E-2</v>
      </c>
    </row>
    <row r="21" spans="1:22" ht="15.75" customHeight="1" x14ac:dyDescent="0.2">
      <c r="A21" s="8" t="s">
        <v>4</v>
      </c>
      <c r="B21" s="33">
        <v>1863900</v>
      </c>
      <c r="C21" s="33">
        <v>0</v>
      </c>
      <c r="D21" s="33">
        <v>0</v>
      </c>
      <c r="E21" s="33">
        <f t="shared" si="13"/>
        <v>1863900</v>
      </c>
      <c r="F21" s="33">
        <v>0</v>
      </c>
      <c r="G21" s="60">
        <v>0</v>
      </c>
      <c r="H21" s="60">
        <v>0</v>
      </c>
      <c r="I21" s="33">
        <f t="shared" si="7"/>
        <v>0</v>
      </c>
      <c r="J21" s="33">
        <v>0</v>
      </c>
      <c r="K21" s="33">
        <v>0</v>
      </c>
      <c r="L21" s="33">
        <v>0</v>
      </c>
      <c r="M21" s="33">
        <f t="shared" si="12"/>
        <v>0</v>
      </c>
      <c r="N21" s="33">
        <v>0</v>
      </c>
      <c r="O21" s="33">
        <v>0</v>
      </c>
      <c r="P21" s="33">
        <v>0</v>
      </c>
      <c r="Q21" s="33">
        <f t="shared" si="14"/>
        <v>0</v>
      </c>
      <c r="R21" s="33">
        <f t="shared" si="2"/>
        <v>1863900</v>
      </c>
      <c r="S21" s="60">
        <f t="shared" si="3"/>
        <v>0</v>
      </c>
      <c r="T21" s="60">
        <f t="shared" si="3"/>
        <v>0</v>
      </c>
      <c r="U21" s="33">
        <f t="shared" si="4"/>
        <v>1863900</v>
      </c>
      <c r="V21" s="34">
        <f t="shared" si="5"/>
        <v>2.646203863750102</v>
      </c>
    </row>
    <row r="22" spans="1:22" ht="25.5" customHeight="1" x14ac:dyDescent="0.2">
      <c r="A22" s="8" t="s">
        <v>0</v>
      </c>
      <c r="B22" s="33">
        <v>65285</v>
      </c>
      <c r="C22" s="33">
        <v>0</v>
      </c>
      <c r="D22" s="33">
        <v>0</v>
      </c>
      <c r="E22" s="33">
        <f t="shared" si="13"/>
        <v>65285</v>
      </c>
      <c r="F22" s="33">
        <v>0</v>
      </c>
      <c r="G22" s="60">
        <v>0</v>
      </c>
      <c r="H22" s="60">
        <v>0</v>
      </c>
      <c r="I22" s="33">
        <f t="shared" si="7"/>
        <v>0</v>
      </c>
      <c r="J22" s="33">
        <v>0</v>
      </c>
      <c r="K22" s="33">
        <v>0</v>
      </c>
      <c r="L22" s="33">
        <v>0</v>
      </c>
      <c r="M22" s="33">
        <f t="shared" si="12"/>
        <v>0</v>
      </c>
      <c r="N22" s="33">
        <v>0</v>
      </c>
      <c r="O22" s="33">
        <v>0</v>
      </c>
      <c r="P22" s="33">
        <v>0</v>
      </c>
      <c r="Q22" s="33">
        <f t="shared" si="14"/>
        <v>0</v>
      </c>
      <c r="R22" s="33">
        <f t="shared" si="2"/>
        <v>65285</v>
      </c>
      <c r="S22" s="60">
        <f t="shared" si="3"/>
        <v>0</v>
      </c>
      <c r="T22" s="60">
        <f t="shared" si="3"/>
        <v>0</v>
      </c>
      <c r="U22" s="33">
        <f t="shared" si="4"/>
        <v>65285</v>
      </c>
      <c r="V22" s="34">
        <f t="shared" si="5"/>
        <v>9.2685991332649501E-2</v>
      </c>
    </row>
    <row r="23" spans="1:22" s="4" customFormat="1" ht="15.75" customHeight="1" x14ac:dyDescent="0.25">
      <c r="A23" s="7" t="s">
        <v>25</v>
      </c>
      <c r="B23" s="31">
        <f>SUM(B24:B26)</f>
        <v>5605576</v>
      </c>
      <c r="C23" s="31">
        <f>SUM(C24:C26)</f>
        <v>0</v>
      </c>
      <c r="D23" s="31">
        <f>SUM(D24:D26)</f>
        <v>0</v>
      </c>
      <c r="E23" s="31">
        <f>SUM(B23:D23)</f>
        <v>5605576</v>
      </c>
      <c r="F23" s="31">
        <f>SUM(F24:F26)</f>
        <v>6555044</v>
      </c>
      <c r="G23" s="69">
        <f>SUM(G24:G26)</f>
        <v>-2448363</v>
      </c>
      <c r="H23" s="69">
        <f>SUM(H24:H26)</f>
        <v>0</v>
      </c>
      <c r="I23" s="31">
        <f>SUM(F23:H23)</f>
        <v>4106681</v>
      </c>
      <c r="J23" s="31">
        <f>SUM(J24:J26)</f>
        <v>0</v>
      </c>
      <c r="K23" s="31">
        <f>SUM(K24:K26)</f>
        <v>0</v>
      </c>
      <c r="L23" s="31">
        <f>SUM(L24:L26)</f>
        <v>0</v>
      </c>
      <c r="M23" s="31">
        <f>SUM(J23:L23)</f>
        <v>0</v>
      </c>
      <c r="N23" s="31">
        <f>SUM(N24:N26)</f>
        <v>16227157</v>
      </c>
      <c r="O23" s="31">
        <f t="shared" ref="O23:Q23" si="15">SUM(O24:O26)</f>
        <v>84409</v>
      </c>
      <c r="P23" s="31">
        <f t="shared" ref="P23" si="16">SUM(P24:P26)</f>
        <v>0</v>
      </c>
      <c r="Q23" s="31">
        <f t="shared" si="15"/>
        <v>16311566</v>
      </c>
      <c r="R23" s="31">
        <f t="shared" si="2"/>
        <v>28387777</v>
      </c>
      <c r="S23" s="69">
        <f t="shared" si="3"/>
        <v>-2363954</v>
      </c>
      <c r="T23" s="69">
        <f t="shared" si="3"/>
        <v>0</v>
      </c>
      <c r="U23" s="31">
        <f t="shared" si="4"/>
        <v>26023823</v>
      </c>
      <c r="V23" s="34">
        <f t="shared" si="5"/>
        <v>36.946371035006585</v>
      </c>
    </row>
    <row r="24" spans="1:22" ht="39" customHeight="1" x14ac:dyDescent="0.2">
      <c r="A24" s="8" t="s">
        <v>62</v>
      </c>
      <c r="B24" s="33">
        <v>0</v>
      </c>
      <c r="C24" s="33">
        <v>0</v>
      </c>
      <c r="D24" s="33">
        <v>0</v>
      </c>
      <c r="E24" s="33">
        <f>SUM(B24:D24)</f>
        <v>0</v>
      </c>
      <c r="F24" s="33">
        <v>40683</v>
      </c>
      <c r="G24" s="60">
        <v>38326</v>
      </c>
      <c r="H24" s="60">
        <v>0</v>
      </c>
      <c r="I24" s="33">
        <f t="shared" si="7"/>
        <v>79009</v>
      </c>
      <c r="J24" s="33">
        <v>0</v>
      </c>
      <c r="K24" s="33">
        <v>0</v>
      </c>
      <c r="L24" s="33">
        <v>0</v>
      </c>
      <c r="M24" s="33">
        <f t="shared" ref="M24:M26" si="17">SUM(J24:L24)</f>
        <v>0</v>
      </c>
      <c r="N24" s="33">
        <v>0</v>
      </c>
      <c r="O24" s="33">
        <v>0</v>
      </c>
      <c r="P24" s="33">
        <v>0</v>
      </c>
      <c r="Q24" s="33">
        <f>SUM(N24:P24)</f>
        <v>0</v>
      </c>
      <c r="R24" s="33">
        <f t="shared" si="2"/>
        <v>40683</v>
      </c>
      <c r="S24" s="60">
        <f t="shared" si="3"/>
        <v>38326</v>
      </c>
      <c r="T24" s="60">
        <f t="shared" si="3"/>
        <v>0</v>
      </c>
      <c r="U24" s="33">
        <f t="shared" si="4"/>
        <v>79009</v>
      </c>
      <c r="V24" s="34">
        <f t="shared" si="5"/>
        <v>0.11217013845755235</v>
      </c>
    </row>
    <row r="25" spans="1:22" ht="25.5" customHeight="1" x14ac:dyDescent="0.2">
      <c r="A25" s="8" t="s">
        <v>2</v>
      </c>
      <c r="B25" s="33">
        <v>4424639</v>
      </c>
      <c r="C25" s="33">
        <v>0</v>
      </c>
      <c r="D25" s="33">
        <v>0</v>
      </c>
      <c r="E25" s="33">
        <f t="shared" ref="E25:E28" si="18">SUM(B25:D25)</f>
        <v>4424639</v>
      </c>
      <c r="F25" s="33">
        <v>6514361</v>
      </c>
      <c r="G25" s="60">
        <f>-2517689+31000</f>
        <v>-2486689</v>
      </c>
      <c r="H25" s="60">
        <v>0</v>
      </c>
      <c r="I25" s="33">
        <f t="shared" si="7"/>
        <v>4027672</v>
      </c>
      <c r="J25" s="33">
        <v>0</v>
      </c>
      <c r="K25" s="33">
        <v>0</v>
      </c>
      <c r="L25" s="33">
        <v>0</v>
      </c>
      <c r="M25" s="33">
        <f t="shared" si="17"/>
        <v>0</v>
      </c>
      <c r="N25" s="33">
        <v>16227157</v>
      </c>
      <c r="O25" s="33">
        <v>84409</v>
      </c>
      <c r="P25" s="33">
        <v>0</v>
      </c>
      <c r="Q25" s="33">
        <f t="shared" ref="Q25:Q31" si="19">SUM(N25:P25)</f>
        <v>16311566</v>
      </c>
      <c r="R25" s="33">
        <f t="shared" si="2"/>
        <v>27166157</v>
      </c>
      <c r="S25" s="60">
        <f t="shared" si="3"/>
        <v>-2402280</v>
      </c>
      <c r="T25" s="60">
        <f t="shared" si="3"/>
        <v>0</v>
      </c>
      <c r="U25" s="33">
        <f t="shared" si="4"/>
        <v>24763877</v>
      </c>
      <c r="V25" s="34">
        <f t="shared" si="5"/>
        <v>35.157608776668432</v>
      </c>
    </row>
    <row r="26" spans="1:22" ht="16.5" customHeight="1" x14ac:dyDescent="0.2">
      <c r="A26" s="8" t="s">
        <v>6</v>
      </c>
      <c r="B26" s="33">
        <v>1180937</v>
      </c>
      <c r="C26" s="33">
        <v>0</v>
      </c>
      <c r="D26" s="33">
        <v>0</v>
      </c>
      <c r="E26" s="33">
        <f t="shared" si="18"/>
        <v>1180937</v>
      </c>
      <c r="F26" s="33">
        <v>0</v>
      </c>
      <c r="G26" s="60">
        <v>0</v>
      </c>
      <c r="H26" s="60">
        <v>0</v>
      </c>
      <c r="I26" s="33">
        <f t="shared" si="7"/>
        <v>0</v>
      </c>
      <c r="J26" s="33">
        <v>0</v>
      </c>
      <c r="K26" s="33">
        <v>0</v>
      </c>
      <c r="L26" s="33">
        <v>0</v>
      </c>
      <c r="M26" s="33">
        <f t="shared" si="17"/>
        <v>0</v>
      </c>
      <c r="N26" s="33">
        <v>0</v>
      </c>
      <c r="O26" s="33">
        <v>0</v>
      </c>
      <c r="P26" s="33">
        <v>0</v>
      </c>
      <c r="Q26" s="33">
        <f t="shared" si="19"/>
        <v>0</v>
      </c>
      <c r="R26" s="33">
        <f t="shared" si="2"/>
        <v>1180937</v>
      </c>
      <c r="S26" s="60">
        <f t="shared" si="3"/>
        <v>0</v>
      </c>
      <c r="T26" s="60">
        <f t="shared" si="3"/>
        <v>0</v>
      </c>
      <c r="U26" s="33">
        <f t="shared" si="4"/>
        <v>1180937</v>
      </c>
      <c r="V26" s="34">
        <f t="shared" si="5"/>
        <v>1.6765921198806022</v>
      </c>
    </row>
    <row r="27" spans="1:22" ht="16.5" customHeight="1" x14ac:dyDescent="0.25">
      <c r="A27" s="6" t="s">
        <v>152</v>
      </c>
      <c r="B27" s="31">
        <f t="shared" ref="B27:R27" si="20">B28</f>
        <v>0</v>
      </c>
      <c r="C27" s="31">
        <v>0</v>
      </c>
      <c r="D27" s="31">
        <v>0</v>
      </c>
      <c r="E27" s="33">
        <f t="shared" si="18"/>
        <v>0</v>
      </c>
      <c r="F27" s="31">
        <f t="shared" si="20"/>
        <v>112218</v>
      </c>
      <c r="G27" s="69">
        <f t="shared" si="20"/>
        <v>55423</v>
      </c>
      <c r="H27" s="69">
        <f t="shared" si="20"/>
        <v>0</v>
      </c>
      <c r="I27" s="31">
        <f>SUM(F27:H27)</f>
        <v>167641</v>
      </c>
      <c r="J27" s="31">
        <f t="shared" si="20"/>
        <v>0</v>
      </c>
      <c r="K27" s="31">
        <f t="shared" si="20"/>
        <v>0</v>
      </c>
      <c r="L27" s="31">
        <f t="shared" si="20"/>
        <v>0</v>
      </c>
      <c r="M27" s="31">
        <f>SUM(J27:L27)</f>
        <v>0</v>
      </c>
      <c r="N27" s="31">
        <f t="shared" si="20"/>
        <v>0</v>
      </c>
      <c r="O27" s="31">
        <v>0</v>
      </c>
      <c r="P27" s="31">
        <v>0</v>
      </c>
      <c r="Q27" s="33">
        <f t="shared" si="19"/>
        <v>0</v>
      </c>
      <c r="R27" s="31">
        <f t="shared" si="20"/>
        <v>112218</v>
      </c>
      <c r="S27" s="69">
        <f t="shared" si="3"/>
        <v>55423</v>
      </c>
      <c r="T27" s="69">
        <f t="shared" si="3"/>
        <v>0</v>
      </c>
      <c r="U27" s="31">
        <f t="shared" si="4"/>
        <v>167641</v>
      </c>
      <c r="V27" s="34">
        <f t="shared" si="5"/>
        <v>0.23800217926011635</v>
      </c>
    </row>
    <row r="28" spans="1:22" ht="26.25" customHeight="1" x14ac:dyDescent="0.2">
      <c r="A28" s="8" t="s">
        <v>1</v>
      </c>
      <c r="B28" s="33">
        <v>0</v>
      </c>
      <c r="C28" s="33">
        <v>0</v>
      </c>
      <c r="D28" s="33">
        <v>0</v>
      </c>
      <c r="E28" s="33">
        <f t="shared" si="18"/>
        <v>0</v>
      </c>
      <c r="F28" s="33">
        <v>112218</v>
      </c>
      <c r="G28" s="60">
        <v>55423</v>
      </c>
      <c r="H28" s="60">
        <v>0</v>
      </c>
      <c r="I28" s="33">
        <f t="shared" si="7"/>
        <v>167641</v>
      </c>
      <c r="J28" s="33">
        <v>0</v>
      </c>
      <c r="K28" s="33">
        <v>0</v>
      </c>
      <c r="L28" s="33">
        <v>0</v>
      </c>
      <c r="M28" s="33">
        <f>SUM(J28:L28)</f>
        <v>0</v>
      </c>
      <c r="N28" s="33">
        <v>0</v>
      </c>
      <c r="O28" s="33">
        <v>0</v>
      </c>
      <c r="P28" s="33">
        <v>0</v>
      </c>
      <c r="Q28" s="33">
        <f t="shared" si="19"/>
        <v>0</v>
      </c>
      <c r="R28" s="33">
        <f>B28+F28+J28+N28</f>
        <v>112218</v>
      </c>
      <c r="S28" s="60">
        <f t="shared" si="3"/>
        <v>55423</v>
      </c>
      <c r="T28" s="60">
        <f t="shared" si="3"/>
        <v>0</v>
      </c>
      <c r="U28" s="33">
        <f t="shared" si="4"/>
        <v>167641</v>
      </c>
      <c r="V28" s="34">
        <f t="shared" si="5"/>
        <v>0.23800217926011635</v>
      </c>
    </row>
    <row r="29" spans="1:22" s="4" customFormat="1" ht="15.75" customHeight="1" x14ac:dyDescent="0.25">
      <c r="A29" s="6" t="s">
        <v>151</v>
      </c>
      <c r="B29" s="31">
        <f>SUM(B30:B31)</f>
        <v>4902146</v>
      </c>
      <c r="C29" s="31">
        <f>SUM(C30:C31)</f>
        <v>8622</v>
      </c>
      <c r="D29" s="31">
        <f>SUM(D30:D31)</f>
        <v>0</v>
      </c>
      <c r="E29" s="31">
        <f>SUM(B29:D29)</f>
        <v>4910768</v>
      </c>
      <c r="F29" s="31">
        <f>SUM(F30:F31)</f>
        <v>410</v>
      </c>
      <c r="G29" s="69">
        <f>SUM(G30:G31)</f>
        <v>-26</v>
      </c>
      <c r="H29" s="69">
        <f>SUM(H30:H31)</f>
        <v>0</v>
      </c>
      <c r="I29" s="31">
        <f>SUM(F29:H29)</f>
        <v>384</v>
      </c>
      <c r="J29" s="31">
        <f>SUM(J30:J31)</f>
        <v>35000</v>
      </c>
      <c r="K29" s="31">
        <f>SUM(K30:K31)</f>
        <v>0</v>
      </c>
      <c r="L29" s="31">
        <f>SUM(L30:L31)</f>
        <v>0</v>
      </c>
      <c r="M29" s="31">
        <f>SUM(J29:L29)</f>
        <v>35000</v>
      </c>
      <c r="N29" s="31">
        <f>SUM(N30:N31)</f>
        <v>18645</v>
      </c>
      <c r="O29" s="31">
        <f t="shared" ref="O29:Q29" si="21">SUM(O30:O31)</f>
        <v>0</v>
      </c>
      <c r="P29" s="31">
        <f t="shared" ref="P29" si="22">SUM(P30:P31)</f>
        <v>0</v>
      </c>
      <c r="Q29" s="31">
        <f t="shared" si="21"/>
        <v>18645</v>
      </c>
      <c r="R29" s="31">
        <f t="shared" si="2"/>
        <v>4956201</v>
      </c>
      <c r="S29" s="69">
        <f t="shared" si="3"/>
        <v>8596</v>
      </c>
      <c r="T29" s="69">
        <f t="shared" si="3"/>
        <v>0</v>
      </c>
      <c r="U29" s="31">
        <f t="shared" si="4"/>
        <v>4964797</v>
      </c>
      <c r="V29" s="34">
        <f t="shared" si="5"/>
        <v>7.0485889823139196</v>
      </c>
    </row>
    <row r="30" spans="1:22" ht="28.5" customHeight="1" x14ac:dyDescent="0.2">
      <c r="A30" s="8" t="s">
        <v>11</v>
      </c>
      <c r="B30" s="33">
        <v>4898146</v>
      </c>
      <c r="C30" s="33">
        <v>8622</v>
      </c>
      <c r="D30" s="33">
        <v>0</v>
      </c>
      <c r="E30" s="33">
        <f>SUM(B30:D30)</f>
        <v>4906768</v>
      </c>
      <c r="F30" s="33">
        <v>0</v>
      </c>
      <c r="G30" s="60">
        <v>0</v>
      </c>
      <c r="H30" s="60">
        <v>0</v>
      </c>
      <c r="I30" s="33">
        <f t="shared" si="7"/>
        <v>0</v>
      </c>
      <c r="J30" s="33">
        <v>0</v>
      </c>
      <c r="K30" s="33">
        <v>0</v>
      </c>
      <c r="L30" s="33">
        <v>0</v>
      </c>
      <c r="M30" s="33">
        <f t="shared" ref="M30:M31" si="23">SUM(J30:L30)</f>
        <v>0</v>
      </c>
      <c r="N30" s="33">
        <v>18645</v>
      </c>
      <c r="O30" s="33">
        <v>0</v>
      </c>
      <c r="P30" s="33">
        <v>0</v>
      </c>
      <c r="Q30" s="33">
        <f t="shared" si="19"/>
        <v>18645</v>
      </c>
      <c r="R30" s="33">
        <f t="shared" si="2"/>
        <v>4916791</v>
      </c>
      <c r="S30" s="60">
        <f t="shared" si="3"/>
        <v>8622</v>
      </c>
      <c r="T30" s="60">
        <f t="shared" si="3"/>
        <v>0</v>
      </c>
      <c r="U30" s="33">
        <f t="shared" si="4"/>
        <v>4925413</v>
      </c>
      <c r="V30" s="34">
        <f t="shared" si="5"/>
        <v>6.9926749885535608</v>
      </c>
    </row>
    <row r="31" spans="1:22" ht="39.75" customHeight="1" x14ac:dyDescent="0.2">
      <c r="A31" s="8" t="s">
        <v>63</v>
      </c>
      <c r="B31" s="33">
        <v>4000</v>
      </c>
      <c r="C31" s="33">
        <v>0</v>
      </c>
      <c r="D31" s="33">
        <v>0</v>
      </c>
      <c r="E31" s="33">
        <f>SUM(B31:D31)</f>
        <v>4000</v>
      </c>
      <c r="F31" s="33">
        <v>410</v>
      </c>
      <c r="G31" s="60">
        <v>-26</v>
      </c>
      <c r="H31" s="60">
        <v>0</v>
      </c>
      <c r="I31" s="33">
        <f t="shared" si="7"/>
        <v>384</v>
      </c>
      <c r="J31" s="33">
        <v>35000</v>
      </c>
      <c r="K31" s="33">
        <v>0</v>
      </c>
      <c r="L31" s="33">
        <v>0</v>
      </c>
      <c r="M31" s="33">
        <f t="shared" si="23"/>
        <v>35000</v>
      </c>
      <c r="N31" s="33">
        <v>0</v>
      </c>
      <c r="O31" s="33">
        <v>0</v>
      </c>
      <c r="P31" s="33">
        <v>0</v>
      </c>
      <c r="Q31" s="33">
        <f t="shared" si="19"/>
        <v>0</v>
      </c>
      <c r="R31" s="33">
        <f t="shared" si="2"/>
        <v>39410</v>
      </c>
      <c r="S31" s="60">
        <f t="shared" si="3"/>
        <v>-26</v>
      </c>
      <c r="T31" s="60">
        <f t="shared" si="3"/>
        <v>0</v>
      </c>
      <c r="U31" s="33">
        <f t="shared" si="4"/>
        <v>39384</v>
      </c>
      <c r="V31" s="34">
        <f t="shared" si="5"/>
        <v>5.5913993760359472E-2</v>
      </c>
    </row>
    <row r="32" spans="1:22" s="4" customFormat="1" ht="15.75" customHeight="1" x14ac:dyDescent="0.25">
      <c r="A32" s="47" t="s">
        <v>26</v>
      </c>
      <c r="B32" s="48">
        <f>B9+B13+B23+B27+B29</f>
        <v>48937127</v>
      </c>
      <c r="C32" s="48">
        <f>C9+C13+C23+C27+C29</f>
        <v>13622</v>
      </c>
      <c r="D32" s="48">
        <f>D9+D13+D23+D27+D29</f>
        <v>0</v>
      </c>
      <c r="E32" s="48">
        <f>SUM(B32:D32)</f>
        <v>48950749</v>
      </c>
      <c r="F32" s="48">
        <f>F9+F13+F23+F27+F29</f>
        <v>6667672</v>
      </c>
      <c r="G32" s="62">
        <f>G9+G13+G23+G27+G29</f>
        <v>-2392930</v>
      </c>
      <c r="H32" s="62">
        <f>H9+H13+H23+H27+H29</f>
        <v>0</v>
      </c>
      <c r="I32" s="48">
        <f t="shared" ref="I32" si="24">SUM(F32:G32)</f>
        <v>4274742</v>
      </c>
      <c r="J32" s="48">
        <f>J9+J13+J23+J27+J29</f>
        <v>881048</v>
      </c>
      <c r="K32" s="48">
        <f>K9+K13+K23+K27+K29</f>
        <v>0</v>
      </c>
      <c r="L32" s="48">
        <f>L9+L13+L23+L27+L29</f>
        <v>0</v>
      </c>
      <c r="M32" s="48">
        <f>SUM(J32:L32)</f>
        <v>881048</v>
      </c>
      <c r="N32" s="48">
        <f>N9+N13+N23+N27+N29</f>
        <v>16245802</v>
      </c>
      <c r="O32" s="48">
        <f>O9+O13+O23+O27+O29</f>
        <v>84409</v>
      </c>
      <c r="P32" s="48">
        <f>P9+P13+P23+P27+P29</f>
        <v>0</v>
      </c>
      <c r="Q32" s="48">
        <f>Q9+Q13+Q23+Q27+Q29</f>
        <v>16330211</v>
      </c>
      <c r="R32" s="48">
        <f>R9+R13+R23+R27+R29</f>
        <v>72731649</v>
      </c>
      <c r="S32" s="62">
        <f>C32+G32+K32+O32</f>
        <v>-2294899</v>
      </c>
      <c r="T32" s="62">
        <f>D32+H32+L32+P32</f>
        <v>0</v>
      </c>
      <c r="U32" s="48">
        <f>R32+S32</f>
        <v>70436750</v>
      </c>
      <c r="V32" s="49">
        <f>U32*100/$U$32</f>
        <v>100</v>
      </c>
    </row>
    <row r="33" spans="1:24" s="4" customFormat="1" ht="15.75" customHeight="1" x14ac:dyDescent="0.25">
      <c r="A33" s="72" t="s">
        <v>33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</row>
    <row r="34" spans="1:24" s="4" customFormat="1" ht="15.75" customHeight="1" x14ac:dyDescent="0.25">
      <c r="A34" s="74" t="s">
        <v>34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</row>
    <row r="35" spans="1:24" ht="15.75" customHeight="1" x14ac:dyDescent="0.2">
      <c r="A35" s="9" t="s">
        <v>15</v>
      </c>
      <c r="B35" s="15">
        <v>28908972</v>
      </c>
      <c r="C35" s="24">
        <v>3225</v>
      </c>
      <c r="D35" s="24">
        <v>-899000</v>
      </c>
      <c r="E35" s="15">
        <f>SUM(B35:D35)</f>
        <v>28013197</v>
      </c>
      <c r="F35" s="15">
        <v>365850</v>
      </c>
      <c r="G35" s="24">
        <v>4518</v>
      </c>
      <c r="H35" s="24">
        <v>0</v>
      </c>
      <c r="I35" s="15">
        <f>SUM(F35:H35)</f>
        <v>370368</v>
      </c>
      <c r="J35" s="15">
        <v>0</v>
      </c>
      <c r="K35" s="15">
        <v>0</v>
      </c>
      <c r="L35" s="15">
        <v>0</v>
      </c>
      <c r="M35" s="15">
        <f>SUM(J35:L35)</f>
        <v>0</v>
      </c>
      <c r="N35" s="15">
        <v>15532639</v>
      </c>
      <c r="O35" s="24">
        <v>-10555</v>
      </c>
      <c r="P35" s="24">
        <v>0</v>
      </c>
      <c r="Q35" s="15">
        <f>SUM(N35:P35)</f>
        <v>15522084</v>
      </c>
      <c r="R35" s="16">
        <f>B35+F35+J35+N35</f>
        <v>44807461</v>
      </c>
      <c r="S35" s="66">
        <f t="shared" ref="S35:T35" si="25">C35+G35+K35+O35</f>
        <v>-2812</v>
      </c>
      <c r="T35" s="66">
        <f t="shared" si="25"/>
        <v>-899000</v>
      </c>
      <c r="U35" s="16">
        <f>R35+S35+T35</f>
        <v>43905649</v>
      </c>
      <c r="V35" s="34">
        <f>U35*100/$U$48</f>
        <v>55.809991657289082</v>
      </c>
    </row>
    <row r="36" spans="1:24" ht="15.75" customHeight="1" x14ac:dyDescent="0.2">
      <c r="A36" s="9" t="s">
        <v>16</v>
      </c>
      <c r="B36" s="15">
        <f>14229952-330000</f>
        <v>13899952</v>
      </c>
      <c r="C36" s="24">
        <f>-558681-9051</f>
        <v>-567732</v>
      </c>
      <c r="D36" s="24">
        <v>-101000</v>
      </c>
      <c r="E36" s="15">
        <f t="shared" ref="E36:E41" si="26">SUM(B36:D36)</f>
        <v>13231220</v>
      </c>
      <c r="F36" s="15">
        <v>1002453</v>
      </c>
      <c r="G36" s="24">
        <v>-5442</v>
      </c>
      <c r="H36" s="24">
        <v>0</v>
      </c>
      <c r="I36" s="15">
        <f t="shared" ref="I36:I46" si="27">SUM(F36:H36)</f>
        <v>997011</v>
      </c>
      <c r="J36" s="15">
        <v>1111000</v>
      </c>
      <c r="K36" s="15">
        <v>0</v>
      </c>
      <c r="L36" s="15">
        <v>0</v>
      </c>
      <c r="M36" s="15">
        <f t="shared" ref="M36:M47" si="28">SUM(J36:L36)</f>
        <v>1111000</v>
      </c>
      <c r="N36" s="15">
        <v>2062506</v>
      </c>
      <c r="O36" s="24">
        <v>151503</v>
      </c>
      <c r="P36" s="24">
        <v>0</v>
      </c>
      <c r="Q36" s="15">
        <f t="shared" ref="Q36:Q47" si="29">SUM(N36:P36)</f>
        <v>2214009</v>
      </c>
      <c r="R36" s="16">
        <f t="shared" ref="R36:R47" si="30">B36+F36+J36+N36</f>
        <v>18075911</v>
      </c>
      <c r="S36" s="66">
        <f t="shared" ref="S36:T48" si="31">C36+G36+K36+O36</f>
        <v>-421671</v>
      </c>
      <c r="T36" s="66">
        <f t="shared" si="31"/>
        <v>-101000</v>
      </c>
      <c r="U36" s="16">
        <f t="shared" ref="U36:U41" si="32">R36+S36+T36</f>
        <v>17553240</v>
      </c>
      <c r="V36" s="34">
        <f t="shared" ref="V36:V47" si="33">U36*100/$U$48</f>
        <v>22.312531536850599</v>
      </c>
    </row>
    <row r="37" spans="1:24" ht="15.75" customHeight="1" x14ac:dyDescent="0.2">
      <c r="A37" s="9" t="s">
        <v>17</v>
      </c>
      <c r="B37" s="15">
        <v>1133898</v>
      </c>
      <c r="C37" s="24">
        <v>700</v>
      </c>
      <c r="D37" s="24">
        <v>0</v>
      </c>
      <c r="E37" s="15">
        <f t="shared" si="26"/>
        <v>1134598</v>
      </c>
      <c r="F37" s="15">
        <f>15000+30000</f>
        <v>45000</v>
      </c>
      <c r="G37" s="24">
        <v>0</v>
      </c>
      <c r="H37" s="24">
        <v>0</v>
      </c>
      <c r="I37" s="15">
        <f t="shared" si="27"/>
        <v>45000</v>
      </c>
      <c r="J37" s="15">
        <v>644800</v>
      </c>
      <c r="K37" s="15">
        <v>0</v>
      </c>
      <c r="L37" s="15">
        <v>0</v>
      </c>
      <c r="M37" s="15">
        <f t="shared" si="28"/>
        <v>644800</v>
      </c>
      <c r="N37" s="15">
        <v>7874</v>
      </c>
      <c r="O37" s="24">
        <v>0</v>
      </c>
      <c r="P37" s="24">
        <v>0</v>
      </c>
      <c r="Q37" s="15">
        <f t="shared" si="29"/>
        <v>7874</v>
      </c>
      <c r="R37" s="16">
        <f t="shared" si="30"/>
        <v>1831572</v>
      </c>
      <c r="S37" s="66">
        <f t="shared" si="31"/>
        <v>700</v>
      </c>
      <c r="T37" s="66">
        <f t="shared" si="31"/>
        <v>0</v>
      </c>
      <c r="U37" s="16">
        <f t="shared" si="32"/>
        <v>1832272</v>
      </c>
      <c r="V37" s="34">
        <f t="shared" si="33"/>
        <v>2.3290644225275972</v>
      </c>
    </row>
    <row r="38" spans="1:24" ht="15.75" customHeight="1" x14ac:dyDescent="0.2">
      <c r="A38" s="9" t="s">
        <v>18</v>
      </c>
      <c r="B38" s="15">
        <v>1233120</v>
      </c>
      <c r="C38" s="24">
        <v>0</v>
      </c>
      <c r="D38" s="24">
        <v>0</v>
      </c>
      <c r="E38" s="15">
        <f t="shared" si="26"/>
        <v>1233120</v>
      </c>
      <c r="F38" s="15">
        <v>0</v>
      </c>
      <c r="G38" s="24">
        <v>0</v>
      </c>
      <c r="H38" s="24">
        <v>0</v>
      </c>
      <c r="I38" s="15">
        <f t="shared" si="27"/>
        <v>0</v>
      </c>
      <c r="J38" s="15">
        <v>0</v>
      </c>
      <c r="K38" s="15">
        <v>0</v>
      </c>
      <c r="L38" s="15">
        <v>0</v>
      </c>
      <c r="M38" s="15">
        <f t="shared" si="28"/>
        <v>0</v>
      </c>
      <c r="N38" s="15">
        <v>0</v>
      </c>
      <c r="O38" s="24">
        <v>0</v>
      </c>
      <c r="P38" s="24">
        <v>0</v>
      </c>
      <c r="Q38" s="15">
        <f t="shared" si="29"/>
        <v>0</v>
      </c>
      <c r="R38" s="16">
        <f t="shared" si="30"/>
        <v>1233120</v>
      </c>
      <c r="S38" s="66">
        <f t="shared" si="31"/>
        <v>0</v>
      </c>
      <c r="T38" s="66">
        <f t="shared" si="31"/>
        <v>0</v>
      </c>
      <c r="U38" s="16">
        <f t="shared" si="32"/>
        <v>1233120</v>
      </c>
      <c r="V38" s="34">
        <f t="shared" si="33"/>
        <v>1.5674615563121801</v>
      </c>
    </row>
    <row r="39" spans="1:24" ht="15.75" customHeight="1" x14ac:dyDescent="0.2">
      <c r="A39" s="9" t="s">
        <v>19</v>
      </c>
      <c r="B39" s="15">
        <f>1681852+722500+300000</f>
        <v>2704352</v>
      </c>
      <c r="C39" s="24">
        <v>-907496</v>
      </c>
      <c r="D39" s="24">
        <v>0</v>
      </c>
      <c r="E39" s="15">
        <f t="shared" si="26"/>
        <v>1796856</v>
      </c>
      <c r="F39" s="15">
        <v>16393118</v>
      </c>
      <c r="G39" s="24">
        <v>-8331221</v>
      </c>
      <c r="H39" s="24">
        <v>0</v>
      </c>
      <c r="I39" s="15">
        <f t="shared" si="27"/>
        <v>8061897</v>
      </c>
      <c r="J39" s="15">
        <v>25000</v>
      </c>
      <c r="K39" s="15">
        <v>0</v>
      </c>
      <c r="L39" s="15">
        <v>0</v>
      </c>
      <c r="M39" s="15">
        <f t="shared" si="28"/>
        <v>25000</v>
      </c>
      <c r="N39" s="15">
        <v>586220</v>
      </c>
      <c r="O39" s="24">
        <v>-56599</v>
      </c>
      <c r="P39" s="24">
        <v>0</v>
      </c>
      <c r="Q39" s="15">
        <f t="shared" si="29"/>
        <v>529621</v>
      </c>
      <c r="R39" s="16">
        <f t="shared" si="30"/>
        <v>19708690</v>
      </c>
      <c r="S39" s="66">
        <f t="shared" si="31"/>
        <v>-9295316</v>
      </c>
      <c r="T39" s="66">
        <f t="shared" si="31"/>
        <v>0</v>
      </c>
      <c r="U39" s="16">
        <f t="shared" si="32"/>
        <v>10413374</v>
      </c>
      <c r="V39" s="34">
        <f t="shared" si="33"/>
        <v>13.236800486976769</v>
      </c>
    </row>
    <row r="40" spans="1:24" ht="15.75" customHeight="1" x14ac:dyDescent="0.2">
      <c r="A40" s="9" t="s">
        <v>20</v>
      </c>
      <c r="B40" s="15">
        <v>2136391</v>
      </c>
      <c r="C40" s="24">
        <v>-7700</v>
      </c>
      <c r="D40" s="24">
        <v>0</v>
      </c>
      <c r="E40" s="15">
        <f t="shared" si="26"/>
        <v>2128691</v>
      </c>
      <c r="F40" s="15">
        <v>126203</v>
      </c>
      <c r="G40" s="24">
        <v>233</v>
      </c>
      <c r="H40" s="24">
        <v>0</v>
      </c>
      <c r="I40" s="15">
        <f t="shared" si="27"/>
        <v>126436</v>
      </c>
      <c r="J40" s="15">
        <v>0</v>
      </c>
      <c r="K40" s="15">
        <v>0</v>
      </c>
      <c r="L40" s="15">
        <v>0</v>
      </c>
      <c r="M40" s="15">
        <f t="shared" si="28"/>
        <v>0</v>
      </c>
      <c r="N40" s="15">
        <v>37320</v>
      </c>
      <c r="O40" s="24">
        <v>0</v>
      </c>
      <c r="P40" s="24">
        <v>0</v>
      </c>
      <c r="Q40" s="15">
        <f t="shared" si="29"/>
        <v>37320</v>
      </c>
      <c r="R40" s="16">
        <f t="shared" si="30"/>
        <v>2299914</v>
      </c>
      <c r="S40" s="66">
        <f t="shared" si="31"/>
        <v>-7467</v>
      </c>
      <c r="T40" s="66">
        <f t="shared" si="31"/>
        <v>0</v>
      </c>
      <c r="U40" s="16">
        <f t="shared" si="32"/>
        <v>2292447</v>
      </c>
      <c r="V40" s="34">
        <f t="shared" si="33"/>
        <v>2.9140088088614151</v>
      </c>
    </row>
    <row r="41" spans="1:24" ht="24" customHeight="1" x14ac:dyDescent="0.2">
      <c r="A41" s="8" t="s">
        <v>21</v>
      </c>
      <c r="B41" s="15">
        <f>SUM(B42:B46)</f>
        <v>1377269</v>
      </c>
      <c r="C41" s="24">
        <f>SUM(C42:C46)</f>
        <v>-700</v>
      </c>
      <c r="D41" s="24">
        <f>SUM(D42:D46)</f>
        <v>0</v>
      </c>
      <c r="E41" s="15">
        <f t="shared" si="26"/>
        <v>1376569</v>
      </c>
      <c r="F41" s="15">
        <f>SUM(F42:F46)</f>
        <v>36215</v>
      </c>
      <c r="G41" s="24">
        <f>SUM(G42:G46)</f>
        <v>24224</v>
      </c>
      <c r="H41" s="24">
        <f>SUM(H42:H46)</f>
        <v>0</v>
      </c>
      <c r="I41" s="15">
        <f t="shared" si="27"/>
        <v>60439</v>
      </c>
      <c r="J41" s="15">
        <f>SUM(J42:J46)</f>
        <v>0</v>
      </c>
      <c r="K41" s="15">
        <f t="shared" ref="K41" si="34">SUM(K42:K46)</f>
        <v>0</v>
      </c>
      <c r="L41" s="15">
        <f t="shared" ref="L41" si="35">SUM(L42:L46)</f>
        <v>0</v>
      </c>
      <c r="M41" s="15">
        <f t="shared" si="28"/>
        <v>0</v>
      </c>
      <c r="N41" s="15">
        <f>SUM(N42:N46)</f>
        <v>1645</v>
      </c>
      <c r="O41" s="24">
        <f t="shared" ref="O41" si="36">SUM(O42:O46)</f>
        <v>60</v>
      </c>
      <c r="P41" s="24">
        <f t="shared" ref="P41" si="37">SUM(P42:P46)</f>
        <v>0</v>
      </c>
      <c r="Q41" s="15">
        <f t="shared" si="29"/>
        <v>1705</v>
      </c>
      <c r="R41" s="16">
        <f t="shared" si="30"/>
        <v>1415129</v>
      </c>
      <c r="S41" s="66">
        <f t="shared" si="31"/>
        <v>23584</v>
      </c>
      <c r="T41" s="66">
        <f t="shared" si="31"/>
        <v>0</v>
      </c>
      <c r="U41" s="16">
        <f t="shared" si="32"/>
        <v>1438713</v>
      </c>
      <c r="V41" s="34">
        <f t="shared" si="33"/>
        <v>1.8287979418601317</v>
      </c>
    </row>
    <row r="42" spans="1:24" ht="26.25" customHeight="1" x14ac:dyDescent="0.2">
      <c r="A42" s="10" t="s">
        <v>28</v>
      </c>
      <c r="B42" s="17">
        <v>1368419</v>
      </c>
      <c r="C42" s="64">
        <v>-700</v>
      </c>
      <c r="D42" s="64">
        <v>0</v>
      </c>
      <c r="E42" s="18">
        <f>SUM(B42:D42)</f>
        <v>1367719</v>
      </c>
      <c r="F42" s="17">
        <v>0</v>
      </c>
      <c r="G42" s="64">
        <v>10648</v>
      </c>
      <c r="H42" s="64">
        <v>0</v>
      </c>
      <c r="I42" s="18">
        <f t="shared" si="27"/>
        <v>10648</v>
      </c>
      <c r="J42" s="18">
        <v>0</v>
      </c>
      <c r="K42" s="18">
        <v>0</v>
      </c>
      <c r="L42" s="18">
        <v>0</v>
      </c>
      <c r="M42" s="18">
        <f t="shared" si="28"/>
        <v>0</v>
      </c>
      <c r="N42" s="17">
        <v>0</v>
      </c>
      <c r="O42" s="65">
        <v>0</v>
      </c>
      <c r="P42" s="65">
        <v>0</v>
      </c>
      <c r="Q42" s="18">
        <f>SUM(N42:P42)</f>
        <v>0</v>
      </c>
      <c r="R42" s="18">
        <f t="shared" si="30"/>
        <v>1368419</v>
      </c>
      <c r="S42" s="53">
        <f t="shared" si="31"/>
        <v>9948</v>
      </c>
      <c r="T42" s="53">
        <f t="shared" si="31"/>
        <v>0</v>
      </c>
      <c r="U42" s="18">
        <f>R42+S42+T42</f>
        <v>1378367</v>
      </c>
      <c r="V42" s="34">
        <f t="shared" si="33"/>
        <v>1.7520900504325214</v>
      </c>
    </row>
    <row r="43" spans="1:24" ht="23.25" customHeight="1" x14ac:dyDescent="0.2">
      <c r="A43" s="10" t="s">
        <v>29</v>
      </c>
      <c r="B43" s="17">
        <v>100</v>
      </c>
      <c r="C43" s="64">
        <v>0</v>
      </c>
      <c r="D43" s="64">
        <v>0</v>
      </c>
      <c r="E43" s="18">
        <f t="shared" ref="E43:E46" si="38">SUM(B43:D43)</f>
        <v>100</v>
      </c>
      <c r="F43" s="17">
        <v>0</v>
      </c>
      <c r="G43" s="64">
        <v>0</v>
      </c>
      <c r="H43" s="64">
        <v>0</v>
      </c>
      <c r="I43" s="18">
        <f t="shared" si="27"/>
        <v>0</v>
      </c>
      <c r="J43" s="18">
        <v>0</v>
      </c>
      <c r="K43" s="18">
        <v>0</v>
      </c>
      <c r="L43" s="18">
        <v>0</v>
      </c>
      <c r="M43" s="18">
        <f t="shared" si="28"/>
        <v>0</v>
      </c>
      <c r="N43" s="17">
        <v>0</v>
      </c>
      <c r="O43" s="65">
        <v>0</v>
      </c>
      <c r="P43" s="65">
        <v>0</v>
      </c>
      <c r="Q43" s="18">
        <f t="shared" si="29"/>
        <v>0</v>
      </c>
      <c r="R43" s="18">
        <f t="shared" si="30"/>
        <v>100</v>
      </c>
      <c r="S43" s="53">
        <f t="shared" si="31"/>
        <v>0</v>
      </c>
      <c r="T43" s="53">
        <f t="shared" si="31"/>
        <v>0</v>
      </c>
      <c r="U43" s="18">
        <f t="shared" ref="U43:U46" si="39">R43+S43+T43</f>
        <v>100</v>
      </c>
      <c r="V43" s="38">
        <f t="shared" si="33"/>
        <v>1.2711346473272514E-4</v>
      </c>
    </row>
    <row r="44" spans="1:24" ht="21" customHeight="1" x14ac:dyDescent="0.2">
      <c r="A44" s="10" t="s">
        <v>30</v>
      </c>
      <c r="B44" s="17">
        <v>1750</v>
      </c>
      <c r="C44" s="64">
        <v>0</v>
      </c>
      <c r="D44" s="64">
        <v>0</v>
      </c>
      <c r="E44" s="18">
        <f t="shared" si="38"/>
        <v>1750</v>
      </c>
      <c r="F44" s="17">
        <v>0</v>
      </c>
      <c r="G44" s="64">
        <v>0</v>
      </c>
      <c r="H44" s="64">
        <v>0</v>
      </c>
      <c r="I44" s="18">
        <f t="shared" si="27"/>
        <v>0</v>
      </c>
      <c r="J44" s="18">
        <v>0</v>
      </c>
      <c r="K44" s="18">
        <v>0</v>
      </c>
      <c r="L44" s="18">
        <v>0</v>
      </c>
      <c r="M44" s="18">
        <f t="shared" si="28"/>
        <v>0</v>
      </c>
      <c r="N44" s="17">
        <v>1645</v>
      </c>
      <c r="O44" s="65">
        <v>60</v>
      </c>
      <c r="P44" s="65">
        <v>0</v>
      </c>
      <c r="Q44" s="18">
        <f t="shared" si="29"/>
        <v>1705</v>
      </c>
      <c r="R44" s="18">
        <f t="shared" si="30"/>
        <v>3395</v>
      </c>
      <c r="S44" s="53">
        <f t="shared" si="31"/>
        <v>60</v>
      </c>
      <c r="T44" s="53">
        <f t="shared" si="31"/>
        <v>0</v>
      </c>
      <c r="U44" s="18">
        <f t="shared" si="39"/>
        <v>3455</v>
      </c>
      <c r="V44" s="38">
        <f t="shared" si="33"/>
        <v>4.3917702065156532E-3</v>
      </c>
    </row>
    <row r="45" spans="1:24" ht="25.5" customHeight="1" x14ac:dyDescent="0.2">
      <c r="A45" s="10" t="s">
        <v>64</v>
      </c>
      <c r="B45" s="17">
        <v>7000</v>
      </c>
      <c r="C45" s="64">
        <v>0</v>
      </c>
      <c r="D45" s="64">
        <v>0</v>
      </c>
      <c r="E45" s="18">
        <f t="shared" si="38"/>
        <v>7000</v>
      </c>
      <c r="F45" s="17">
        <v>0</v>
      </c>
      <c r="G45" s="64">
        <v>0</v>
      </c>
      <c r="H45" s="64">
        <v>0</v>
      </c>
      <c r="I45" s="18">
        <f t="shared" si="27"/>
        <v>0</v>
      </c>
      <c r="J45" s="18">
        <v>0</v>
      </c>
      <c r="K45" s="18">
        <v>0</v>
      </c>
      <c r="L45" s="18">
        <v>0</v>
      </c>
      <c r="M45" s="18">
        <f t="shared" si="28"/>
        <v>0</v>
      </c>
      <c r="N45" s="17">
        <v>0</v>
      </c>
      <c r="O45" s="65">
        <v>0</v>
      </c>
      <c r="P45" s="65">
        <v>0</v>
      </c>
      <c r="Q45" s="18">
        <f t="shared" si="29"/>
        <v>0</v>
      </c>
      <c r="R45" s="18">
        <f t="shared" si="30"/>
        <v>7000</v>
      </c>
      <c r="S45" s="53">
        <f t="shared" si="31"/>
        <v>0</v>
      </c>
      <c r="T45" s="53">
        <f t="shared" si="31"/>
        <v>0</v>
      </c>
      <c r="U45" s="18">
        <f t="shared" si="39"/>
        <v>7000</v>
      </c>
      <c r="V45" s="34">
        <f t="shared" si="33"/>
        <v>8.8979425312907586E-3</v>
      </c>
    </row>
    <row r="46" spans="1:24" ht="15.75" customHeight="1" x14ac:dyDescent="0.2">
      <c r="A46" s="10" t="s">
        <v>31</v>
      </c>
      <c r="B46" s="17">
        <v>0</v>
      </c>
      <c r="C46" s="64">
        <v>0</v>
      </c>
      <c r="D46" s="64">
        <v>0</v>
      </c>
      <c r="E46" s="18">
        <f t="shared" si="38"/>
        <v>0</v>
      </c>
      <c r="F46" s="17">
        <v>36215</v>
      </c>
      <c r="G46" s="64">
        <v>13576</v>
      </c>
      <c r="H46" s="64">
        <v>0</v>
      </c>
      <c r="I46" s="15">
        <f t="shared" si="27"/>
        <v>49791</v>
      </c>
      <c r="J46" s="18">
        <v>0</v>
      </c>
      <c r="K46" s="18">
        <v>0</v>
      </c>
      <c r="L46" s="18">
        <v>0</v>
      </c>
      <c r="M46" s="15">
        <f t="shared" si="28"/>
        <v>0</v>
      </c>
      <c r="N46" s="17">
        <v>0</v>
      </c>
      <c r="O46" s="65">
        <v>0</v>
      </c>
      <c r="P46" s="65">
        <v>0</v>
      </c>
      <c r="Q46" s="18">
        <f t="shared" si="29"/>
        <v>0</v>
      </c>
      <c r="R46" s="18">
        <f t="shared" si="30"/>
        <v>36215</v>
      </c>
      <c r="S46" s="53">
        <f t="shared" si="31"/>
        <v>13576</v>
      </c>
      <c r="T46" s="53">
        <f t="shared" si="31"/>
        <v>0</v>
      </c>
      <c r="U46" s="18">
        <f t="shared" si="39"/>
        <v>49791</v>
      </c>
      <c r="V46" s="34">
        <f t="shared" si="33"/>
        <v>6.3291065225071164E-2</v>
      </c>
    </row>
    <row r="47" spans="1:24" ht="15.75" customHeight="1" x14ac:dyDescent="0.2">
      <c r="A47" s="9" t="s">
        <v>22</v>
      </c>
      <c r="B47" s="15">
        <v>0</v>
      </c>
      <c r="C47" s="24">
        <v>0</v>
      </c>
      <c r="D47" s="24">
        <v>0</v>
      </c>
      <c r="E47" s="16">
        <f>SUM(B47:D47)</f>
        <v>0</v>
      </c>
      <c r="F47" s="15">
        <v>1057</v>
      </c>
      <c r="G47" s="24">
        <v>0</v>
      </c>
      <c r="H47" s="24">
        <v>0</v>
      </c>
      <c r="I47" s="15">
        <f>SUM(F47:H47)</f>
        <v>1057</v>
      </c>
      <c r="J47" s="15">
        <v>0</v>
      </c>
      <c r="K47" s="15">
        <v>0</v>
      </c>
      <c r="L47" s="15">
        <v>0</v>
      </c>
      <c r="M47" s="15">
        <f t="shared" si="28"/>
        <v>0</v>
      </c>
      <c r="N47" s="15">
        <v>0</v>
      </c>
      <c r="O47" s="24">
        <v>0</v>
      </c>
      <c r="P47" s="24">
        <v>0</v>
      </c>
      <c r="Q47" s="15">
        <f t="shared" si="29"/>
        <v>0</v>
      </c>
      <c r="R47" s="16">
        <f t="shared" si="30"/>
        <v>1057</v>
      </c>
      <c r="S47" s="66">
        <f t="shared" si="31"/>
        <v>0</v>
      </c>
      <c r="T47" s="66">
        <f t="shared" si="31"/>
        <v>0</v>
      </c>
      <c r="U47" s="16">
        <f>R47+S47+T47</f>
        <v>1057</v>
      </c>
      <c r="V47" s="39">
        <f t="shared" si="33"/>
        <v>1.3435893222249046E-3</v>
      </c>
    </row>
    <row r="48" spans="1:24" s="2" customFormat="1" ht="15" customHeight="1" x14ac:dyDescent="0.25">
      <c r="A48" s="51" t="s">
        <v>32</v>
      </c>
      <c r="B48" s="52">
        <f>SUM(B35:B41)+B47</f>
        <v>51393954</v>
      </c>
      <c r="C48" s="68">
        <f>SUM(C35:C41)+C47</f>
        <v>-1479703</v>
      </c>
      <c r="D48" s="68">
        <f>SUM(D35:D41)+D47</f>
        <v>-1000000</v>
      </c>
      <c r="E48" s="52">
        <f>SUM(B48:D48)</f>
        <v>48914251</v>
      </c>
      <c r="F48" s="52">
        <f>SUM(F35:F41)+F47</f>
        <v>17969896</v>
      </c>
      <c r="G48" s="67">
        <f>SUM(G35:G41)+G47</f>
        <v>-8307688</v>
      </c>
      <c r="H48" s="67">
        <f>SUM(H35:H41)+H47</f>
        <v>0</v>
      </c>
      <c r="I48" s="52">
        <f t="shared" ref="I48" si="40">SUM(F48:G48)</f>
        <v>9662208</v>
      </c>
      <c r="J48" s="52">
        <f>SUM(J35:J41)+J47</f>
        <v>1780800</v>
      </c>
      <c r="K48" s="52">
        <f>SUM(K35:K41)+K47</f>
        <v>0</v>
      </c>
      <c r="L48" s="52">
        <f>SUM(L35:L41)+L47</f>
        <v>0</v>
      </c>
      <c r="M48" s="52">
        <f>SUM(M35:M41)+M47</f>
        <v>1780800</v>
      </c>
      <c r="N48" s="52">
        <f>SUM(N35:N41)+N47</f>
        <v>18228204</v>
      </c>
      <c r="O48" s="52">
        <f t="shared" ref="O48:Q48" si="41">SUM(O35:O41)+O47</f>
        <v>84409</v>
      </c>
      <c r="P48" s="52">
        <f t="shared" ref="P48" si="42">SUM(P35:P41)+P47</f>
        <v>0</v>
      </c>
      <c r="Q48" s="52">
        <f t="shared" si="41"/>
        <v>18312613</v>
      </c>
      <c r="R48" s="52">
        <f>SUM(R35:R41)+R47</f>
        <v>89372854</v>
      </c>
      <c r="S48" s="67">
        <f t="shared" si="31"/>
        <v>-9702982</v>
      </c>
      <c r="T48" s="67">
        <f t="shared" si="31"/>
        <v>-1000000</v>
      </c>
      <c r="U48" s="52">
        <f>R48+S48+T48</f>
        <v>78669872</v>
      </c>
      <c r="V48" s="49">
        <f>U48*100/$U$48</f>
        <v>100</v>
      </c>
      <c r="X48" s="25"/>
    </row>
    <row r="49" spans="1:22" s="4" customFormat="1" ht="15.75" customHeight="1" x14ac:dyDescent="0.25">
      <c r="A49" s="76" t="s">
        <v>36</v>
      </c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</row>
    <row r="50" spans="1:22" ht="15" customHeight="1" x14ac:dyDescent="0.2">
      <c r="A50" s="9" t="s">
        <v>37</v>
      </c>
      <c r="B50" s="33">
        <v>4462908</v>
      </c>
      <c r="C50" s="60">
        <v>-1371</v>
      </c>
      <c r="D50" s="60">
        <f>-123000-4400</f>
        <v>-127400</v>
      </c>
      <c r="E50" s="33">
        <f>SUM(B50:D50)</f>
        <v>4334137</v>
      </c>
      <c r="F50" s="33">
        <v>0</v>
      </c>
      <c r="G50" s="60">
        <v>0</v>
      </c>
      <c r="H50" s="60">
        <v>0</v>
      </c>
      <c r="I50" s="33">
        <f>SUM(F50:H50)</f>
        <v>0</v>
      </c>
      <c r="J50" s="33">
        <v>0</v>
      </c>
      <c r="K50" s="33">
        <v>0</v>
      </c>
      <c r="L50" s="33">
        <v>0</v>
      </c>
      <c r="M50" s="33">
        <f>SUM(J50:L50)</f>
        <v>0</v>
      </c>
      <c r="N50" s="33">
        <v>23679</v>
      </c>
      <c r="O50" s="33">
        <v>0</v>
      </c>
      <c r="P50" s="33">
        <v>0</v>
      </c>
      <c r="Q50" s="33">
        <f>SUM(N50:P50)</f>
        <v>23679</v>
      </c>
      <c r="R50" s="33">
        <f>B50+F50+J50+N50</f>
        <v>4486587</v>
      </c>
      <c r="S50" s="60">
        <f t="shared" ref="S50:T50" si="43">C50+G50+K50+O50</f>
        <v>-1371</v>
      </c>
      <c r="T50" s="60">
        <f t="shared" si="43"/>
        <v>-127400</v>
      </c>
      <c r="U50" s="33">
        <f>R50+S50+T50</f>
        <v>4357816</v>
      </c>
      <c r="V50" s="34">
        <f>U50*100/$U$59</f>
        <v>5.5393709042770531</v>
      </c>
    </row>
    <row r="51" spans="1:22" ht="15" customHeight="1" x14ac:dyDescent="0.2">
      <c r="A51" s="9" t="s">
        <v>38</v>
      </c>
      <c r="B51" s="33">
        <v>772689</v>
      </c>
      <c r="C51" s="60">
        <v>0</v>
      </c>
      <c r="D51" s="60">
        <v>-27000</v>
      </c>
      <c r="E51" s="33">
        <f t="shared" ref="E51:E58" si="44">SUM(B51:D51)</f>
        <v>745689</v>
      </c>
      <c r="F51" s="33">
        <v>0</v>
      </c>
      <c r="G51" s="60">
        <v>0</v>
      </c>
      <c r="H51" s="60">
        <v>0</v>
      </c>
      <c r="I51" s="33">
        <f t="shared" ref="I51:I58" si="45">SUM(F51:H51)</f>
        <v>0</v>
      </c>
      <c r="J51" s="33">
        <v>0</v>
      </c>
      <c r="K51" s="33">
        <v>0</v>
      </c>
      <c r="L51" s="33">
        <v>0</v>
      </c>
      <c r="M51" s="33">
        <f t="shared" ref="M51:M58" si="46">SUM(J51:L51)</f>
        <v>0</v>
      </c>
      <c r="N51" s="33">
        <v>0</v>
      </c>
      <c r="O51" s="33">
        <v>0</v>
      </c>
      <c r="P51" s="33">
        <v>0</v>
      </c>
      <c r="Q51" s="33">
        <f t="shared" ref="Q51:Q58" si="47">SUM(N51:P51)</f>
        <v>0</v>
      </c>
      <c r="R51" s="33">
        <f t="shared" ref="R51:R58" si="48">B51+F51+J51+N51</f>
        <v>772689</v>
      </c>
      <c r="S51" s="60">
        <f t="shared" ref="S51:T59" si="49">C51+G51+K51+O51</f>
        <v>0</v>
      </c>
      <c r="T51" s="60">
        <f t="shared" si="49"/>
        <v>-27000</v>
      </c>
      <c r="U51" s="33">
        <f t="shared" ref="U51:U58" si="50">R51+S51+T51</f>
        <v>745689</v>
      </c>
      <c r="V51" s="34">
        <f t="shared" ref="V51:V59" si="51">U51*100/$U$59</f>
        <v>0.94787112403081064</v>
      </c>
    </row>
    <row r="52" spans="1:22" ht="15" customHeight="1" x14ac:dyDescent="0.2">
      <c r="A52" s="9" t="s">
        <v>39</v>
      </c>
      <c r="B52" s="33">
        <f>4297706-330000+722500</f>
        <v>4690206</v>
      </c>
      <c r="C52" s="24">
        <v>-1261711</v>
      </c>
      <c r="D52" s="24">
        <v>-34000</v>
      </c>
      <c r="E52" s="33">
        <f t="shared" si="44"/>
        <v>3394495</v>
      </c>
      <c r="F52" s="33">
        <v>10392834</v>
      </c>
      <c r="G52" s="60">
        <v>-7431963</v>
      </c>
      <c r="H52" s="60">
        <v>0</v>
      </c>
      <c r="I52" s="33">
        <f t="shared" si="45"/>
        <v>2960871</v>
      </c>
      <c r="J52" s="33">
        <v>0</v>
      </c>
      <c r="K52" s="33">
        <v>0</v>
      </c>
      <c r="L52" s="33">
        <v>0</v>
      </c>
      <c r="M52" s="33">
        <f t="shared" si="46"/>
        <v>0</v>
      </c>
      <c r="N52" s="33">
        <v>1658906</v>
      </c>
      <c r="O52" s="33">
        <v>0</v>
      </c>
      <c r="P52" s="33">
        <v>0</v>
      </c>
      <c r="Q52" s="33">
        <f t="shared" si="47"/>
        <v>1658906</v>
      </c>
      <c r="R52" s="33">
        <f t="shared" si="48"/>
        <v>16741946</v>
      </c>
      <c r="S52" s="60">
        <f t="shared" si="49"/>
        <v>-8693674</v>
      </c>
      <c r="T52" s="60">
        <f t="shared" si="49"/>
        <v>-34000</v>
      </c>
      <c r="U52" s="33">
        <f t="shared" si="50"/>
        <v>8014272</v>
      </c>
      <c r="V52" s="34">
        <f t="shared" si="51"/>
        <v>10.187218812304664</v>
      </c>
    </row>
    <row r="53" spans="1:22" ht="15" customHeight="1" x14ac:dyDescent="0.2">
      <c r="A53" s="9" t="s">
        <v>40</v>
      </c>
      <c r="B53" s="33">
        <v>195289</v>
      </c>
      <c r="C53" s="60">
        <v>0</v>
      </c>
      <c r="D53" s="60">
        <v>0</v>
      </c>
      <c r="E53" s="33">
        <f t="shared" si="44"/>
        <v>195289</v>
      </c>
      <c r="F53" s="33">
        <v>317660</v>
      </c>
      <c r="G53" s="60">
        <v>-25069</v>
      </c>
      <c r="H53" s="60">
        <v>0</v>
      </c>
      <c r="I53" s="33">
        <f t="shared" si="45"/>
        <v>292591</v>
      </c>
      <c r="J53" s="33">
        <v>1780800</v>
      </c>
      <c r="K53" s="33">
        <v>0</v>
      </c>
      <c r="L53" s="33">
        <v>0</v>
      </c>
      <c r="M53" s="33">
        <f t="shared" si="46"/>
        <v>1780800</v>
      </c>
      <c r="N53" s="33">
        <v>0</v>
      </c>
      <c r="O53" s="33">
        <v>0</v>
      </c>
      <c r="P53" s="33">
        <v>0</v>
      </c>
      <c r="Q53" s="33">
        <f t="shared" si="47"/>
        <v>0</v>
      </c>
      <c r="R53" s="33">
        <f t="shared" si="48"/>
        <v>2293749</v>
      </c>
      <c r="S53" s="60">
        <f t="shared" si="49"/>
        <v>-25069</v>
      </c>
      <c r="T53" s="60">
        <f t="shared" si="49"/>
        <v>0</v>
      </c>
      <c r="U53" s="33">
        <f t="shared" si="50"/>
        <v>2268680</v>
      </c>
      <c r="V53" s="34">
        <f t="shared" si="51"/>
        <v>2.8837977516983884</v>
      </c>
    </row>
    <row r="54" spans="1:22" ht="15" customHeight="1" x14ac:dyDescent="0.2">
      <c r="A54" s="9" t="s">
        <v>41</v>
      </c>
      <c r="B54" s="33">
        <v>6991198</v>
      </c>
      <c r="C54" s="60">
        <f>140922-9051</f>
        <v>131871</v>
      </c>
      <c r="D54" s="60">
        <v>-96000</v>
      </c>
      <c r="E54" s="33">
        <f t="shared" si="44"/>
        <v>7027069</v>
      </c>
      <c r="F54" s="33">
        <f>624031+30000</f>
        <v>654031</v>
      </c>
      <c r="G54" s="60">
        <v>16334</v>
      </c>
      <c r="H54" s="60">
        <v>0</v>
      </c>
      <c r="I54" s="33">
        <f t="shared" si="45"/>
        <v>670365</v>
      </c>
      <c r="J54" s="33">
        <v>0</v>
      </c>
      <c r="K54" s="33">
        <v>0</v>
      </c>
      <c r="L54" s="33">
        <v>0</v>
      </c>
      <c r="M54" s="33">
        <f t="shared" si="46"/>
        <v>0</v>
      </c>
      <c r="N54" s="33">
        <v>0</v>
      </c>
      <c r="O54" s="33">
        <v>0</v>
      </c>
      <c r="P54" s="33">
        <v>0</v>
      </c>
      <c r="Q54" s="33">
        <f t="shared" si="47"/>
        <v>0</v>
      </c>
      <c r="R54" s="33">
        <f t="shared" si="48"/>
        <v>7645229</v>
      </c>
      <c r="S54" s="60">
        <f t="shared" si="49"/>
        <v>148205</v>
      </c>
      <c r="T54" s="60">
        <f t="shared" si="49"/>
        <v>-96000</v>
      </c>
      <c r="U54" s="33">
        <f t="shared" si="50"/>
        <v>7697434</v>
      </c>
      <c r="V54" s="34">
        <f t="shared" si="51"/>
        <v>9.784475052914793</v>
      </c>
    </row>
    <row r="55" spans="1:22" ht="15" customHeight="1" x14ac:dyDescent="0.2">
      <c r="A55" s="9" t="s">
        <v>42</v>
      </c>
      <c r="B55" s="33">
        <v>59000</v>
      </c>
      <c r="C55" s="60">
        <v>0</v>
      </c>
      <c r="D55" s="60">
        <v>0</v>
      </c>
      <c r="E55" s="33">
        <f t="shared" si="44"/>
        <v>59000</v>
      </c>
      <c r="F55" s="33">
        <v>0</v>
      </c>
      <c r="G55" s="60">
        <v>0</v>
      </c>
      <c r="H55" s="60">
        <v>0</v>
      </c>
      <c r="I55" s="33">
        <f t="shared" si="45"/>
        <v>0</v>
      </c>
      <c r="J55" s="33">
        <v>0</v>
      </c>
      <c r="K55" s="33">
        <v>0</v>
      </c>
      <c r="L55" s="33">
        <v>0</v>
      </c>
      <c r="M55" s="33">
        <f t="shared" si="46"/>
        <v>0</v>
      </c>
      <c r="N55" s="33">
        <v>0</v>
      </c>
      <c r="O55" s="33">
        <v>0</v>
      </c>
      <c r="P55" s="33">
        <v>0</v>
      </c>
      <c r="Q55" s="33">
        <f t="shared" si="47"/>
        <v>0</v>
      </c>
      <c r="R55" s="33">
        <f t="shared" si="48"/>
        <v>59000</v>
      </c>
      <c r="S55" s="60">
        <f t="shared" si="49"/>
        <v>0</v>
      </c>
      <c r="T55" s="60">
        <f t="shared" si="49"/>
        <v>0</v>
      </c>
      <c r="U55" s="33">
        <f t="shared" si="50"/>
        <v>59000</v>
      </c>
      <c r="V55" s="34">
        <f t="shared" si="51"/>
        <v>7.4996944192307818E-2</v>
      </c>
    </row>
    <row r="56" spans="1:22" ht="15" customHeight="1" x14ac:dyDescent="0.2">
      <c r="A56" s="9" t="s">
        <v>43</v>
      </c>
      <c r="B56" s="33">
        <v>4141307</v>
      </c>
      <c r="C56" s="60">
        <v>64943</v>
      </c>
      <c r="D56" s="60">
        <v>-68000</v>
      </c>
      <c r="E56" s="33">
        <f t="shared" si="44"/>
        <v>4138250</v>
      </c>
      <c r="F56" s="33">
        <v>574703</v>
      </c>
      <c r="G56" s="60">
        <v>-232793</v>
      </c>
      <c r="H56" s="60">
        <v>0</v>
      </c>
      <c r="I56" s="33">
        <f t="shared" si="45"/>
        <v>341910</v>
      </c>
      <c r="J56" s="33">
        <v>0</v>
      </c>
      <c r="K56" s="33">
        <v>0</v>
      </c>
      <c r="L56" s="33">
        <v>0</v>
      </c>
      <c r="M56" s="33">
        <f t="shared" si="46"/>
        <v>0</v>
      </c>
      <c r="N56" s="33">
        <v>60012</v>
      </c>
      <c r="O56" s="33">
        <v>0</v>
      </c>
      <c r="P56" s="33">
        <v>0</v>
      </c>
      <c r="Q56" s="33">
        <f t="shared" si="47"/>
        <v>60012</v>
      </c>
      <c r="R56" s="33">
        <f t="shared" si="48"/>
        <v>4776022</v>
      </c>
      <c r="S56" s="60">
        <f t="shared" si="49"/>
        <v>-167850</v>
      </c>
      <c r="T56" s="60">
        <f t="shared" si="49"/>
        <v>-68000</v>
      </c>
      <c r="U56" s="33">
        <f t="shared" si="50"/>
        <v>4540172</v>
      </c>
      <c r="V56" s="34">
        <f t="shared" si="51"/>
        <v>5.7711699340250613</v>
      </c>
    </row>
    <row r="57" spans="1:22" ht="15" customHeight="1" x14ac:dyDescent="0.2">
      <c r="A57" s="9" t="s">
        <v>44</v>
      </c>
      <c r="B57" s="33">
        <f>19438505+300000</f>
        <v>19738505</v>
      </c>
      <c r="C57" s="60">
        <v>-272851</v>
      </c>
      <c r="D57" s="60">
        <f>-438000-96600</f>
        <v>-534600</v>
      </c>
      <c r="E57" s="33">
        <f t="shared" si="44"/>
        <v>18931054</v>
      </c>
      <c r="F57" s="33">
        <v>5511960</v>
      </c>
      <c r="G57" s="60">
        <v>-638830</v>
      </c>
      <c r="H57" s="60">
        <v>0</v>
      </c>
      <c r="I57" s="33">
        <f t="shared" si="45"/>
        <v>4873130</v>
      </c>
      <c r="J57" s="33">
        <v>0</v>
      </c>
      <c r="K57" s="33">
        <v>0</v>
      </c>
      <c r="L57" s="33">
        <v>0</v>
      </c>
      <c r="M57" s="33">
        <f t="shared" si="46"/>
        <v>0</v>
      </c>
      <c r="N57" s="33">
        <v>15694959</v>
      </c>
      <c r="O57" s="33">
        <v>81875</v>
      </c>
      <c r="P57" s="33">
        <v>0</v>
      </c>
      <c r="Q57" s="33">
        <f t="shared" si="47"/>
        <v>15776834</v>
      </c>
      <c r="R57" s="33">
        <f t="shared" si="48"/>
        <v>40945424</v>
      </c>
      <c r="S57" s="60">
        <f t="shared" si="49"/>
        <v>-829806</v>
      </c>
      <c r="T57" s="60">
        <f t="shared" si="49"/>
        <v>-534600</v>
      </c>
      <c r="U57" s="33">
        <f t="shared" si="50"/>
        <v>39581018</v>
      </c>
      <c r="V57" s="34">
        <f t="shared" si="51"/>
        <v>50.312803356283588</v>
      </c>
    </row>
    <row r="58" spans="1:22" ht="15" customHeight="1" x14ac:dyDescent="0.2">
      <c r="A58" s="9" t="s">
        <v>45</v>
      </c>
      <c r="B58" s="33">
        <v>10342852</v>
      </c>
      <c r="C58" s="60">
        <v>-140584</v>
      </c>
      <c r="D58" s="60">
        <v>-113000</v>
      </c>
      <c r="E58" s="33">
        <f t="shared" si="44"/>
        <v>10089268</v>
      </c>
      <c r="F58" s="33">
        <v>518708</v>
      </c>
      <c r="G58" s="60">
        <v>4633</v>
      </c>
      <c r="H58" s="60">
        <v>0</v>
      </c>
      <c r="I58" s="33">
        <f t="shared" si="45"/>
        <v>523341</v>
      </c>
      <c r="J58" s="33">
        <v>0</v>
      </c>
      <c r="K58" s="33">
        <v>0</v>
      </c>
      <c r="L58" s="33">
        <v>0</v>
      </c>
      <c r="M58" s="33">
        <f t="shared" si="46"/>
        <v>0</v>
      </c>
      <c r="N58" s="33">
        <v>790648</v>
      </c>
      <c r="O58" s="33">
        <v>2534</v>
      </c>
      <c r="P58" s="33">
        <v>0</v>
      </c>
      <c r="Q58" s="33">
        <f t="shared" si="47"/>
        <v>793182</v>
      </c>
      <c r="R58" s="33">
        <f t="shared" si="48"/>
        <v>11652208</v>
      </c>
      <c r="S58" s="60">
        <f t="shared" si="49"/>
        <v>-133417</v>
      </c>
      <c r="T58" s="60">
        <f t="shared" si="49"/>
        <v>-113000</v>
      </c>
      <c r="U58" s="33">
        <f t="shared" si="50"/>
        <v>11405791</v>
      </c>
      <c r="V58" s="34">
        <f t="shared" si="51"/>
        <v>14.498296120273336</v>
      </c>
    </row>
    <row r="59" spans="1:22" s="4" customFormat="1" ht="15" customHeight="1" x14ac:dyDescent="0.25">
      <c r="A59" s="50" t="s">
        <v>32</v>
      </c>
      <c r="B59" s="48">
        <f>SUM(B50:B58)</f>
        <v>51393954</v>
      </c>
      <c r="C59" s="62">
        <f>SUM(C50:C58)</f>
        <v>-1479703</v>
      </c>
      <c r="D59" s="62">
        <f>SUM(D50:D58)</f>
        <v>-1000000</v>
      </c>
      <c r="E59" s="48">
        <f t="shared" ref="E59" si="52">SUM(E50:E58)</f>
        <v>48914251</v>
      </c>
      <c r="F59" s="48">
        <f>SUM(F50:F58)</f>
        <v>17969896</v>
      </c>
      <c r="G59" s="62">
        <f>SUM(G50:G58)</f>
        <v>-8307688</v>
      </c>
      <c r="H59" s="62">
        <f>SUM(H50:H58)</f>
        <v>0</v>
      </c>
      <c r="I59" s="48">
        <f>SUM(F59:H59)</f>
        <v>9662208</v>
      </c>
      <c r="J59" s="48">
        <f>SUM(J50:J58)</f>
        <v>1780800</v>
      </c>
      <c r="K59" s="48">
        <f>SUM(K50:K58)</f>
        <v>0</v>
      </c>
      <c r="L59" s="48">
        <f>SUM(L50:L58)</f>
        <v>0</v>
      </c>
      <c r="M59" s="48">
        <f>SUM(M50:M58)</f>
        <v>1780800</v>
      </c>
      <c r="N59" s="48">
        <f>SUM(N50:N58)</f>
        <v>18228204</v>
      </c>
      <c r="O59" s="48">
        <f t="shared" ref="O59:Q59" si="53">SUM(O50:O58)</f>
        <v>84409</v>
      </c>
      <c r="P59" s="48">
        <f t="shared" ref="P59" si="54">SUM(P50:P58)</f>
        <v>0</v>
      </c>
      <c r="Q59" s="48">
        <f t="shared" si="53"/>
        <v>18312613</v>
      </c>
      <c r="R59" s="48">
        <f>SUM(R50:R58)</f>
        <v>89372854</v>
      </c>
      <c r="S59" s="62">
        <f t="shared" si="49"/>
        <v>-9702982</v>
      </c>
      <c r="T59" s="62">
        <f t="shared" si="49"/>
        <v>-1000000</v>
      </c>
      <c r="U59" s="48">
        <f>R59+S59+T59</f>
        <v>78669872</v>
      </c>
      <c r="V59" s="49">
        <f t="shared" si="51"/>
        <v>100</v>
      </c>
    </row>
    <row r="60" spans="1:22" s="4" customFormat="1" ht="15" customHeight="1" x14ac:dyDescent="0.25">
      <c r="A60" s="11" t="s">
        <v>47</v>
      </c>
      <c r="B60" s="19">
        <f>B32-B59</f>
        <v>-2456827</v>
      </c>
      <c r="C60" s="63">
        <f t="shared" ref="C60:I60" si="55">C32-C59</f>
        <v>1493325</v>
      </c>
      <c r="D60" s="63">
        <f t="shared" ref="D60" si="56">D32-D59</f>
        <v>1000000</v>
      </c>
      <c r="E60" s="19">
        <f>E32-E59</f>
        <v>36498</v>
      </c>
      <c r="F60" s="19">
        <f t="shared" si="55"/>
        <v>-11302224</v>
      </c>
      <c r="G60" s="63">
        <f t="shared" si="55"/>
        <v>5914758</v>
      </c>
      <c r="H60" s="63">
        <f t="shared" ref="H60" si="57">H32-H59</f>
        <v>0</v>
      </c>
      <c r="I60" s="19">
        <f t="shared" si="55"/>
        <v>-5387466</v>
      </c>
      <c r="J60" s="19">
        <f>J32-J59</f>
        <v>-899752</v>
      </c>
      <c r="K60" s="19">
        <f t="shared" ref="K60:U60" si="58">K32-K59</f>
        <v>0</v>
      </c>
      <c r="L60" s="19">
        <f t="shared" ref="L60" si="59">L32-L59</f>
        <v>0</v>
      </c>
      <c r="M60" s="19">
        <f t="shared" si="58"/>
        <v>-899752</v>
      </c>
      <c r="N60" s="19">
        <f t="shared" si="58"/>
        <v>-1982402</v>
      </c>
      <c r="O60" s="19">
        <f t="shared" si="58"/>
        <v>0</v>
      </c>
      <c r="P60" s="19">
        <f t="shared" ref="P60" si="60">P32-P59</f>
        <v>0</v>
      </c>
      <c r="Q60" s="19">
        <f t="shared" si="58"/>
        <v>-1982402</v>
      </c>
      <c r="R60" s="19">
        <f t="shared" si="58"/>
        <v>-16641205</v>
      </c>
      <c r="S60" s="63">
        <f t="shared" si="58"/>
        <v>7408083</v>
      </c>
      <c r="T60" s="63">
        <f t="shared" ref="T60" si="61">T32-T59</f>
        <v>1000000</v>
      </c>
      <c r="U60" s="19">
        <f t="shared" si="58"/>
        <v>-8233122</v>
      </c>
      <c r="V60" s="3"/>
    </row>
    <row r="61" spans="1:22" s="4" customFormat="1" ht="15" customHeight="1" x14ac:dyDescent="0.25">
      <c r="A61" s="11" t="s">
        <v>46</v>
      </c>
      <c r="B61" s="19">
        <f>B62-B63+B64+B65-B66</f>
        <v>4011142</v>
      </c>
      <c r="C61" s="63">
        <f t="shared" ref="C61:I61" si="62">C62-C63+C64+C65-C66</f>
        <v>-1759818</v>
      </c>
      <c r="D61" s="63">
        <f t="shared" ref="D61" si="63">D62-D63+D64+D65-D66</f>
        <v>-1000000</v>
      </c>
      <c r="E61" s="19">
        <f t="shared" si="62"/>
        <v>1251324</v>
      </c>
      <c r="F61" s="19">
        <f t="shared" si="62"/>
        <v>9747909</v>
      </c>
      <c r="G61" s="63">
        <f t="shared" si="62"/>
        <v>-5648265</v>
      </c>
      <c r="H61" s="63">
        <f t="shared" ref="H61" si="64">H62-H63+H64+H65-H66</f>
        <v>0</v>
      </c>
      <c r="I61" s="19">
        <f t="shared" si="62"/>
        <v>4099644</v>
      </c>
      <c r="J61" s="19">
        <f t="shared" ref="J61" si="65">J62-J63+J64+J65-J66</f>
        <v>899752</v>
      </c>
      <c r="K61" s="19">
        <f t="shared" ref="K61:U61" si="66">K62-K63+K64+K65-K66</f>
        <v>0</v>
      </c>
      <c r="L61" s="19">
        <f t="shared" ref="L61" si="67">L62-L63+L64+L65-L66</f>
        <v>0</v>
      </c>
      <c r="M61" s="19">
        <f t="shared" si="66"/>
        <v>899752</v>
      </c>
      <c r="N61" s="19">
        <f t="shared" si="66"/>
        <v>1982402</v>
      </c>
      <c r="O61" s="19">
        <f t="shared" si="66"/>
        <v>0</v>
      </c>
      <c r="P61" s="19">
        <f t="shared" ref="P61" si="68">P62-P63+P64+P65-P66</f>
        <v>0</v>
      </c>
      <c r="Q61" s="19">
        <f t="shared" si="66"/>
        <v>1982402</v>
      </c>
      <c r="R61" s="19">
        <f t="shared" si="66"/>
        <v>16641205</v>
      </c>
      <c r="S61" s="63">
        <f t="shared" si="66"/>
        <v>-7408083</v>
      </c>
      <c r="T61" s="63">
        <f t="shared" ref="T61" si="69">T62-T63+T64+T65-T66</f>
        <v>-1000000</v>
      </c>
      <c r="U61" s="19">
        <f t="shared" si="66"/>
        <v>8233122</v>
      </c>
      <c r="V61" s="59"/>
    </row>
    <row r="62" spans="1:22" ht="15" customHeight="1" x14ac:dyDescent="0.2">
      <c r="A62" s="23" t="s">
        <v>54</v>
      </c>
      <c r="B62" s="70">
        <v>2811692</v>
      </c>
      <c r="C62" s="70">
        <v>0</v>
      </c>
      <c r="D62" s="70">
        <v>0</v>
      </c>
      <c r="E62" s="70">
        <f>SUM(B62:D62)</f>
        <v>2811692</v>
      </c>
      <c r="F62" s="70">
        <v>1510514</v>
      </c>
      <c r="G62" s="70">
        <v>0</v>
      </c>
      <c r="H62" s="70">
        <v>0</v>
      </c>
      <c r="I62" s="70">
        <f>SUM(F62:H62)</f>
        <v>1510514</v>
      </c>
      <c r="J62" s="70">
        <v>1294820</v>
      </c>
      <c r="K62" s="70">
        <v>0</v>
      </c>
      <c r="L62" s="70">
        <v>0</v>
      </c>
      <c r="M62" s="70">
        <f>SUM(J62:L62)</f>
        <v>1294820</v>
      </c>
      <c r="N62" s="70">
        <v>1982402</v>
      </c>
      <c r="O62" s="70">
        <v>0</v>
      </c>
      <c r="P62" s="70">
        <v>0</v>
      </c>
      <c r="Q62" s="70">
        <f>SUM(N62:P62)</f>
        <v>1982402</v>
      </c>
      <c r="R62" s="70">
        <f>B62+F62+J62+N62</f>
        <v>7599428</v>
      </c>
      <c r="S62" s="60">
        <f t="shared" ref="S62:T67" si="70">C62+G62+K62+O62</f>
        <v>0</v>
      </c>
      <c r="T62" s="60">
        <f t="shared" si="70"/>
        <v>0</v>
      </c>
      <c r="U62" s="70">
        <f>R62+S62+T62</f>
        <v>7599428</v>
      </c>
    </row>
    <row r="63" spans="1:22" ht="15" customHeight="1" x14ac:dyDescent="0.2">
      <c r="A63" s="23" t="s">
        <v>55</v>
      </c>
      <c r="B63" s="70">
        <v>100000</v>
      </c>
      <c r="C63" s="70">
        <v>0</v>
      </c>
      <c r="D63" s="70">
        <v>0</v>
      </c>
      <c r="E63" s="70">
        <f t="shared" ref="E63:E66" si="71">SUM(B63:D63)</f>
        <v>100000</v>
      </c>
      <c r="F63" s="70">
        <v>57726</v>
      </c>
      <c r="G63" s="70">
        <v>241630</v>
      </c>
      <c r="H63" s="70">
        <v>0</v>
      </c>
      <c r="I63" s="70">
        <f t="shared" ref="I63:I66" si="72">SUM(F63:H63)</f>
        <v>299356</v>
      </c>
      <c r="J63" s="70">
        <v>395068</v>
      </c>
      <c r="K63" s="70">
        <v>0</v>
      </c>
      <c r="L63" s="70">
        <v>0</v>
      </c>
      <c r="M63" s="70">
        <f t="shared" ref="M63:M67" si="73">SUM(J63:L63)</f>
        <v>395068</v>
      </c>
      <c r="N63" s="70">
        <v>0</v>
      </c>
      <c r="O63" s="70">
        <v>0</v>
      </c>
      <c r="P63" s="70">
        <v>0</v>
      </c>
      <c r="Q63" s="70">
        <f t="shared" ref="Q63:Q67" si="74">SUM(N63:P63)</f>
        <v>0</v>
      </c>
      <c r="R63" s="70">
        <f>B63+F63+J63+N63</f>
        <v>552794</v>
      </c>
      <c r="S63" s="60">
        <f t="shared" si="70"/>
        <v>241630</v>
      </c>
      <c r="T63" s="60">
        <f t="shared" si="70"/>
        <v>0</v>
      </c>
      <c r="U63" s="70">
        <f t="shared" ref="U63:U66" si="75">R63+S63+T63</f>
        <v>794424</v>
      </c>
      <c r="V63" s="5"/>
    </row>
    <row r="64" spans="1:22" ht="29.25" customHeight="1" x14ac:dyDescent="0.2">
      <c r="A64" s="23" t="s">
        <v>65</v>
      </c>
      <c r="B64" s="70">
        <v>1800000</v>
      </c>
      <c r="C64" s="70">
        <f>-500000-290949-9051</f>
        <v>-800000</v>
      </c>
      <c r="D64" s="70">
        <v>-1000000</v>
      </c>
      <c r="E64" s="70">
        <f t="shared" si="71"/>
        <v>0</v>
      </c>
      <c r="F64" s="70">
        <v>0</v>
      </c>
      <c r="G64" s="70">
        <v>0</v>
      </c>
      <c r="H64" s="70">
        <v>0</v>
      </c>
      <c r="I64" s="70">
        <f t="shared" si="72"/>
        <v>0</v>
      </c>
      <c r="J64" s="70">
        <v>0</v>
      </c>
      <c r="K64" s="70">
        <v>0</v>
      </c>
      <c r="L64" s="70">
        <v>0</v>
      </c>
      <c r="M64" s="70">
        <f t="shared" si="73"/>
        <v>0</v>
      </c>
      <c r="N64" s="70">
        <v>0</v>
      </c>
      <c r="O64" s="70">
        <v>0</v>
      </c>
      <c r="P64" s="70">
        <v>0</v>
      </c>
      <c r="Q64" s="70">
        <f t="shared" si="74"/>
        <v>0</v>
      </c>
      <c r="R64" s="70">
        <f>B64+F64+J64+N64</f>
        <v>1800000</v>
      </c>
      <c r="S64" s="60">
        <f t="shared" si="70"/>
        <v>-800000</v>
      </c>
      <c r="T64" s="60">
        <f t="shared" si="70"/>
        <v>-1000000</v>
      </c>
      <c r="U64" s="70">
        <f t="shared" si="75"/>
        <v>0</v>
      </c>
    </row>
    <row r="65" spans="1:21" ht="15" customHeight="1" x14ac:dyDescent="0.2">
      <c r="A65" s="23" t="s">
        <v>53</v>
      </c>
      <c r="B65" s="70">
        <f>379950+722500</f>
        <v>1102450</v>
      </c>
      <c r="C65" s="70">
        <v>-959818</v>
      </c>
      <c r="D65" s="70">
        <v>0</v>
      </c>
      <c r="E65" s="70">
        <f t="shared" si="71"/>
        <v>142632</v>
      </c>
      <c r="F65" s="70">
        <v>8833040</v>
      </c>
      <c r="G65" s="70">
        <v>-5193684</v>
      </c>
      <c r="H65" s="70">
        <v>0</v>
      </c>
      <c r="I65" s="70">
        <f t="shared" si="72"/>
        <v>3639356</v>
      </c>
      <c r="J65" s="70">
        <v>0</v>
      </c>
      <c r="K65" s="70">
        <v>0</v>
      </c>
      <c r="L65" s="70">
        <v>0</v>
      </c>
      <c r="M65" s="70">
        <f t="shared" si="73"/>
        <v>0</v>
      </c>
      <c r="N65" s="70">
        <v>0</v>
      </c>
      <c r="O65" s="70">
        <v>0</v>
      </c>
      <c r="P65" s="70">
        <v>0</v>
      </c>
      <c r="Q65" s="70">
        <f t="shared" si="74"/>
        <v>0</v>
      </c>
      <c r="R65" s="70">
        <f>B65+F65+J65+N65</f>
        <v>9935490</v>
      </c>
      <c r="S65" s="60">
        <f t="shared" si="70"/>
        <v>-6153502</v>
      </c>
      <c r="T65" s="60">
        <f t="shared" si="70"/>
        <v>0</v>
      </c>
      <c r="U65" s="70">
        <f t="shared" si="75"/>
        <v>3781988</v>
      </c>
    </row>
    <row r="66" spans="1:21" ht="15" customHeight="1" x14ac:dyDescent="0.2">
      <c r="A66" s="23" t="s">
        <v>52</v>
      </c>
      <c r="B66" s="70">
        <v>1603000</v>
      </c>
      <c r="C66" s="70">
        <v>0</v>
      </c>
      <c r="D66" s="70">
        <v>0</v>
      </c>
      <c r="E66" s="70">
        <f t="shared" si="71"/>
        <v>1603000</v>
      </c>
      <c r="F66" s="70">
        <v>537919</v>
      </c>
      <c r="G66" s="70">
        <f>181951+31000</f>
        <v>212951</v>
      </c>
      <c r="H66" s="70">
        <v>0</v>
      </c>
      <c r="I66" s="70">
        <f t="shared" si="72"/>
        <v>750870</v>
      </c>
      <c r="J66" s="70">
        <v>0</v>
      </c>
      <c r="K66" s="70">
        <v>0</v>
      </c>
      <c r="L66" s="70">
        <v>0</v>
      </c>
      <c r="M66" s="70">
        <f t="shared" si="73"/>
        <v>0</v>
      </c>
      <c r="N66" s="70">
        <v>0</v>
      </c>
      <c r="O66" s="70">
        <v>0</v>
      </c>
      <c r="P66" s="70">
        <v>0</v>
      </c>
      <c r="Q66" s="70">
        <f t="shared" si="74"/>
        <v>0</v>
      </c>
      <c r="R66" s="70">
        <f>B66+F66+J66+N66</f>
        <v>2140919</v>
      </c>
      <c r="S66" s="60">
        <f t="shared" si="70"/>
        <v>212951</v>
      </c>
      <c r="T66" s="60">
        <f t="shared" si="70"/>
        <v>0</v>
      </c>
      <c r="U66" s="70">
        <f t="shared" si="75"/>
        <v>2353870</v>
      </c>
    </row>
    <row r="67" spans="1:21" s="21" customFormat="1" ht="25.5" customHeight="1" x14ac:dyDescent="0.2">
      <c r="A67" s="20" t="s">
        <v>51</v>
      </c>
      <c r="B67" s="71">
        <f>B60+B61</f>
        <v>1554315</v>
      </c>
      <c r="C67" s="71">
        <f>C61+C60</f>
        <v>-266493</v>
      </c>
      <c r="D67" s="71">
        <f>D61+D60</f>
        <v>0</v>
      </c>
      <c r="E67" s="71">
        <f>SUM(B67:D67)</f>
        <v>1287822</v>
      </c>
      <c r="F67" s="71">
        <f>F60+F61</f>
        <v>-1554315</v>
      </c>
      <c r="G67" s="71">
        <f>G61+G60</f>
        <v>266493</v>
      </c>
      <c r="H67" s="71">
        <f>H61+H60</f>
        <v>0</v>
      </c>
      <c r="I67" s="71">
        <f>SUM(F67:H67)</f>
        <v>-1287822</v>
      </c>
      <c r="J67" s="71">
        <v>0</v>
      </c>
      <c r="K67" s="71">
        <v>0</v>
      </c>
      <c r="L67" s="71">
        <v>0</v>
      </c>
      <c r="M67" s="71">
        <f t="shared" si="73"/>
        <v>0</v>
      </c>
      <c r="N67" s="71">
        <v>0</v>
      </c>
      <c r="O67" s="71">
        <v>0</v>
      </c>
      <c r="P67" s="71">
        <v>0</v>
      </c>
      <c r="Q67" s="71">
        <f t="shared" si="74"/>
        <v>0</v>
      </c>
      <c r="R67" s="71">
        <v>0</v>
      </c>
      <c r="S67" s="61">
        <f t="shared" si="70"/>
        <v>0</v>
      </c>
      <c r="T67" s="61">
        <f t="shared" si="70"/>
        <v>0</v>
      </c>
      <c r="U67" s="71">
        <f>R67+S67+T67</f>
        <v>0</v>
      </c>
    </row>
    <row r="68" spans="1:21" ht="15" customHeight="1" x14ac:dyDescent="0.3">
      <c r="G68" s="5"/>
      <c r="H68" s="5"/>
    </row>
    <row r="69" spans="1:21" ht="15" customHeight="1" x14ac:dyDescent="0.3">
      <c r="E69" s="5"/>
      <c r="I69" s="5"/>
      <c r="K69" s="5"/>
      <c r="L69" s="5"/>
    </row>
    <row r="70" spans="1:21" ht="15" customHeight="1" x14ac:dyDescent="0.3">
      <c r="I70" s="5"/>
    </row>
    <row r="71" spans="1:21" ht="15" customHeight="1" x14ac:dyDescent="0.3">
      <c r="G71" s="59"/>
      <c r="H71" s="59"/>
      <c r="J71" s="5"/>
    </row>
  </sheetData>
  <mergeCells count="9">
    <mergeCell ref="A33:V33"/>
    <mergeCell ref="A34:V34"/>
    <mergeCell ref="A49:V49"/>
    <mergeCell ref="A6:A7"/>
    <mergeCell ref="N6:Q6"/>
    <mergeCell ref="B6:M6"/>
    <mergeCell ref="R6:U6"/>
    <mergeCell ref="V6:V7"/>
    <mergeCell ref="A8:V8"/>
  </mergeCells>
  <pageMargins left="0.59055118110236227" right="0.39370078740157483" top="0.39370078740157483" bottom="0.39370078740157483" header="0.19685039370078741" footer="0.19685039370078741"/>
  <pageSetup paperSize="9" scale="42" firstPageNumber="0" fitToHeight="0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A1:I197"/>
  <sheetViews>
    <sheetView showOutlineSymbols="0" topLeftCell="A2" workbookViewId="0">
      <pane ySplit="6" topLeftCell="A8" activePane="bottomLeft" state="frozen"/>
      <selection activeCell="A2" sqref="A2"/>
      <selection pane="bottomLeft" activeCell="B27" sqref="B27:B30"/>
    </sheetView>
  </sheetViews>
  <sheetFormatPr defaultColWidth="14.125" defaultRowHeight="15" customHeight="1" x14ac:dyDescent="0.3"/>
  <cols>
    <col min="1" max="1" width="12" style="3" customWidth="1"/>
    <col min="2" max="2" width="29.875" style="3" customWidth="1"/>
    <col min="3" max="3" width="42.375" style="3" customWidth="1"/>
    <col min="4" max="7" width="13.875" style="3" customWidth="1"/>
    <col min="8" max="8" width="13.875" style="4" customWidth="1"/>
    <col min="9" max="9" width="11.875" style="3" customWidth="1"/>
    <col min="10" max="16384" width="14.125" style="3"/>
  </cols>
  <sheetData>
    <row r="1" spans="1:9" ht="15" customHeight="1" x14ac:dyDescent="0.2">
      <c r="H1" s="12" t="s">
        <v>49</v>
      </c>
    </row>
    <row r="2" spans="1:9" ht="15" customHeight="1" x14ac:dyDescent="0.2">
      <c r="H2" s="13"/>
      <c r="I2" s="12" t="s">
        <v>49</v>
      </c>
    </row>
    <row r="3" spans="1:9" ht="15" customHeight="1" x14ac:dyDescent="0.2">
      <c r="H3" s="13"/>
      <c r="I3" s="13" t="s">
        <v>154</v>
      </c>
    </row>
    <row r="4" spans="1:9" ht="15" customHeight="1" x14ac:dyDescent="0.2">
      <c r="I4" s="13" t="s">
        <v>50</v>
      </c>
    </row>
    <row r="5" spans="1:9" ht="15" customHeight="1" x14ac:dyDescent="0.3">
      <c r="A5" s="14" t="s">
        <v>66</v>
      </c>
      <c r="B5" s="14"/>
      <c r="C5" s="14"/>
    </row>
    <row r="6" spans="1:9" s="1" customFormat="1" ht="15.75" customHeight="1" x14ac:dyDescent="0.2">
      <c r="A6" s="95" t="s">
        <v>48</v>
      </c>
      <c r="B6" s="96"/>
      <c r="C6" s="97"/>
      <c r="D6" s="86" t="s">
        <v>57</v>
      </c>
      <c r="E6" s="86"/>
      <c r="F6" s="86"/>
      <c r="G6" s="86" t="s">
        <v>58</v>
      </c>
      <c r="H6" s="86" t="s">
        <v>56</v>
      </c>
      <c r="I6" s="86" t="s">
        <v>150</v>
      </c>
    </row>
    <row r="7" spans="1:9" s="1" customFormat="1" ht="51.75" customHeight="1" x14ac:dyDescent="0.2">
      <c r="A7" s="98"/>
      <c r="B7" s="99"/>
      <c r="C7" s="100"/>
      <c r="D7" s="22" t="s">
        <v>59</v>
      </c>
      <c r="E7" s="22" t="s">
        <v>61</v>
      </c>
      <c r="F7" s="22" t="s">
        <v>60</v>
      </c>
      <c r="G7" s="86"/>
      <c r="H7" s="86"/>
      <c r="I7" s="86"/>
    </row>
    <row r="8" spans="1:9" s="4" customFormat="1" ht="15.75" customHeight="1" x14ac:dyDescent="0.25">
      <c r="A8" s="89" t="s">
        <v>36</v>
      </c>
      <c r="B8" s="90"/>
      <c r="C8" s="90"/>
      <c r="D8" s="90"/>
      <c r="E8" s="90"/>
      <c r="F8" s="90"/>
      <c r="G8" s="90"/>
      <c r="H8" s="90"/>
      <c r="I8" s="90"/>
    </row>
    <row r="9" spans="1:9" s="4" customFormat="1" ht="9.75" customHeight="1" x14ac:dyDescent="0.25">
      <c r="A9" s="29"/>
      <c r="B9" s="29"/>
      <c r="C9" s="29"/>
      <c r="D9" s="29"/>
      <c r="E9" s="29"/>
      <c r="F9" s="29"/>
      <c r="G9" s="29"/>
      <c r="H9" s="29"/>
    </row>
    <row r="10" spans="1:9" ht="15" customHeight="1" x14ac:dyDescent="0.2">
      <c r="A10" s="91" t="s">
        <v>37</v>
      </c>
      <c r="B10" s="91"/>
      <c r="C10" s="91"/>
      <c r="D10" s="36">
        <v>4462908</v>
      </c>
      <c r="E10" s="36">
        <v>0</v>
      </c>
      <c r="F10" s="36">
        <v>0</v>
      </c>
      <c r="G10" s="36">
        <v>23679</v>
      </c>
      <c r="H10" s="36">
        <f>D10+E10+F10+G10</f>
        <v>4486587</v>
      </c>
      <c r="I10" s="35">
        <f>H10*100/$H$19</f>
        <v>5.060991634618853</v>
      </c>
    </row>
    <row r="11" spans="1:9" ht="15" customHeight="1" x14ac:dyDescent="0.2">
      <c r="A11" s="92" t="s">
        <v>38</v>
      </c>
      <c r="B11" s="93"/>
      <c r="C11" s="94"/>
      <c r="D11" s="36">
        <v>772689</v>
      </c>
      <c r="E11" s="36">
        <v>0</v>
      </c>
      <c r="F11" s="36">
        <v>0</v>
      </c>
      <c r="G11" s="36">
        <v>0</v>
      </c>
      <c r="H11" s="36">
        <f t="shared" ref="H11:H18" si="0">D11+E11+F11+G11</f>
        <v>772689</v>
      </c>
      <c r="I11" s="35">
        <f t="shared" ref="I11:I19" si="1">H11*100/$H$19</f>
        <v>0.87161411673550682</v>
      </c>
    </row>
    <row r="12" spans="1:9" ht="15" customHeight="1" x14ac:dyDescent="0.2">
      <c r="A12" s="92" t="s">
        <v>39</v>
      </c>
      <c r="B12" s="93"/>
      <c r="C12" s="94"/>
      <c r="D12" s="36">
        <v>4297706</v>
      </c>
      <c r="E12" s="36">
        <v>10392834</v>
      </c>
      <c r="F12" s="36">
        <v>0</v>
      </c>
      <c r="G12" s="36">
        <v>1658906</v>
      </c>
      <c r="H12" s="36">
        <f t="shared" si="0"/>
        <v>16349446</v>
      </c>
      <c r="I12" s="35">
        <f t="shared" si="1"/>
        <v>18.442617837713314</v>
      </c>
    </row>
    <row r="13" spans="1:9" ht="15" customHeight="1" x14ac:dyDescent="0.2">
      <c r="A13" s="92" t="s">
        <v>40</v>
      </c>
      <c r="B13" s="93"/>
      <c r="C13" s="94"/>
      <c r="D13" s="36">
        <v>195289</v>
      </c>
      <c r="E13" s="36">
        <v>317660</v>
      </c>
      <c r="F13" s="36">
        <v>1780800</v>
      </c>
      <c r="G13" s="36">
        <v>0</v>
      </c>
      <c r="H13" s="36">
        <f t="shared" si="0"/>
        <v>2293749</v>
      </c>
      <c r="I13" s="35">
        <f t="shared" si="1"/>
        <v>2.5874109876650917</v>
      </c>
    </row>
    <row r="14" spans="1:9" ht="15" customHeight="1" x14ac:dyDescent="0.2">
      <c r="A14" s="92" t="s">
        <v>41</v>
      </c>
      <c r="B14" s="93"/>
      <c r="C14" s="94"/>
      <c r="D14" s="36">
        <v>6991198</v>
      </c>
      <c r="E14" s="36">
        <v>624031</v>
      </c>
      <c r="F14" s="36">
        <v>0</v>
      </c>
      <c r="G14" s="36">
        <v>0</v>
      </c>
      <c r="H14" s="36">
        <f t="shared" si="0"/>
        <v>7615229</v>
      </c>
      <c r="I14" s="35">
        <f t="shared" si="1"/>
        <v>8.5901845355293229</v>
      </c>
    </row>
    <row r="15" spans="1:9" ht="15" customHeight="1" x14ac:dyDescent="0.2">
      <c r="A15" s="92" t="s">
        <v>42</v>
      </c>
      <c r="B15" s="93"/>
      <c r="C15" s="94"/>
      <c r="D15" s="36">
        <v>59000</v>
      </c>
      <c r="E15" s="36">
        <v>0</v>
      </c>
      <c r="F15" s="36">
        <v>0</v>
      </c>
      <c r="G15" s="36">
        <v>0</v>
      </c>
      <c r="H15" s="36">
        <f t="shared" si="0"/>
        <v>59000</v>
      </c>
      <c r="I15" s="35">
        <f t="shared" si="1"/>
        <v>6.6553597744234611E-2</v>
      </c>
    </row>
    <row r="16" spans="1:9" ht="15" customHeight="1" x14ac:dyDescent="0.2">
      <c r="A16" s="92" t="s">
        <v>43</v>
      </c>
      <c r="B16" s="93"/>
      <c r="C16" s="94"/>
      <c r="D16" s="36">
        <v>4141307</v>
      </c>
      <c r="E16" s="36">
        <v>574703</v>
      </c>
      <c r="F16" s="36">
        <v>0</v>
      </c>
      <c r="G16" s="36">
        <v>60012</v>
      </c>
      <c r="H16" s="36">
        <f t="shared" si="0"/>
        <v>4776022</v>
      </c>
      <c r="I16" s="35">
        <f t="shared" si="1"/>
        <v>5.3874821526375403</v>
      </c>
    </row>
    <row r="17" spans="1:9" ht="15" customHeight="1" x14ac:dyDescent="0.2">
      <c r="A17" s="92" t="s">
        <v>44</v>
      </c>
      <c r="B17" s="93"/>
      <c r="C17" s="94"/>
      <c r="D17" s="36">
        <v>19438505</v>
      </c>
      <c r="E17" s="36">
        <v>5511960</v>
      </c>
      <c r="F17" s="36">
        <v>0</v>
      </c>
      <c r="G17" s="36">
        <v>15694959</v>
      </c>
      <c r="H17" s="36">
        <f t="shared" si="0"/>
        <v>40645424</v>
      </c>
      <c r="I17" s="35">
        <f t="shared" si="1"/>
        <v>45.849138966777282</v>
      </c>
    </row>
    <row r="18" spans="1:9" ht="15" customHeight="1" x14ac:dyDescent="0.2">
      <c r="A18" s="92" t="s">
        <v>45</v>
      </c>
      <c r="B18" s="93"/>
      <c r="C18" s="94"/>
      <c r="D18" s="36">
        <v>10342852</v>
      </c>
      <c r="E18" s="36">
        <v>518708</v>
      </c>
      <c r="F18" s="36">
        <v>0</v>
      </c>
      <c r="G18" s="36">
        <v>790648</v>
      </c>
      <c r="H18" s="36">
        <f t="shared" si="0"/>
        <v>11652208</v>
      </c>
      <c r="I18" s="35">
        <f t="shared" si="1"/>
        <v>13.144006170578857</v>
      </c>
    </row>
    <row r="19" spans="1:9" s="4" customFormat="1" ht="15" customHeight="1" x14ac:dyDescent="0.25">
      <c r="A19" s="103" t="s">
        <v>32</v>
      </c>
      <c r="B19" s="104"/>
      <c r="C19" s="105"/>
      <c r="D19" s="37">
        <f>SUM(D10:D18)</f>
        <v>50701454</v>
      </c>
      <c r="E19" s="37">
        <f>SUM(E10:E18)</f>
        <v>17939896</v>
      </c>
      <c r="F19" s="37">
        <f>SUM(F10:F18)</f>
        <v>1780800</v>
      </c>
      <c r="G19" s="37">
        <f>SUM(G10:G18)</f>
        <v>18228204</v>
      </c>
      <c r="H19" s="37">
        <f>SUM(H10:H18)</f>
        <v>88650354</v>
      </c>
      <c r="I19" s="30">
        <f t="shared" si="1"/>
        <v>100</v>
      </c>
    </row>
    <row r="20" spans="1:9" ht="15.75" customHeight="1" x14ac:dyDescent="0.3">
      <c r="A20" s="101" t="s">
        <v>149</v>
      </c>
      <c r="B20" s="101"/>
      <c r="C20" s="101"/>
      <c r="D20" s="101"/>
      <c r="E20" s="101"/>
      <c r="F20" s="101"/>
      <c r="G20" s="101"/>
      <c r="H20" s="101"/>
    </row>
    <row r="21" spans="1:9" ht="15" customHeight="1" x14ac:dyDescent="0.2">
      <c r="A21" s="102" t="s">
        <v>37</v>
      </c>
      <c r="B21" s="102" t="s">
        <v>67</v>
      </c>
      <c r="C21" s="27" t="s">
        <v>15</v>
      </c>
      <c r="D21" s="40">
        <v>1741894</v>
      </c>
      <c r="E21" s="40">
        <v>0</v>
      </c>
      <c r="F21" s="40">
        <v>0</v>
      </c>
      <c r="G21" s="40">
        <v>0</v>
      </c>
      <c r="H21" s="41">
        <v>1741894</v>
      </c>
      <c r="I21" s="34">
        <f>H21*100/$H$194</f>
        <v>1.9490191059580575</v>
      </c>
    </row>
    <row r="22" spans="1:9" ht="15" customHeight="1" x14ac:dyDescent="0.2">
      <c r="A22" s="102"/>
      <c r="B22" s="102"/>
      <c r="C22" s="27" t="s">
        <v>16</v>
      </c>
      <c r="D22" s="40">
        <v>150862</v>
      </c>
      <c r="E22" s="40">
        <v>0</v>
      </c>
      <c r="F22" s="40">
        <v>0</v>
      </c>
      <c r="G22" s="40">
        <v>0</v>
      </c>
      <c r="H22" s="41">
        <v>150862</v>
      </c>
      <c r="I22" s="34">
        <f t="shared" ref="I22:I85" si="2">H22*100/$H$194</f>
        <v>0.16880069646203757</v>
      </c>
    </row>
    <row r="23" spans="1:9" ht="15" customHeight="1" x14ac:dyDescent="0.2">
      <c r="A23" s="102"/>
      <c r="B23" s="102"/>
      <c r="C23" s="27" t="s">
        <v>19</v>
      </c>
      <c r="D23" s="40">
        <v>7700</v>
      </c>
      <c r="E23" s="40">
        <v>0</v>
      </c>
      <c r="F23" s="40">
        <v>0</v>
      </c>
      <c r="G23" s="40">
        <v>0</v>
      </c>
      <c r="H23" s="41">
        <v>7700</v>
      </c>
      <c r="I23" s="34">
        <f t="shared" si="2"/>
        <v>8.6155914859785045E-3</v>
      </c>
    </row>
    <row r="24" spans="1:9" ht="31.5" customHeight="1" x14ac:dyDescent="0.2">
      <c r="A24" s="102"/>
      <c r="B24" s="102"/>
      <c r="C24" s="27" t="s">
        <v>20</v>
      </c>
      <c r="D24" s="40">
        <v>49950</v>
      </c>
      <c r="E24" s="40">
        <v>0</v>
      </c>
      <c r="F24" s="40">
        <v>0</v>
      </c>
      <c r="G24" s="40">
        <v>0</v>
      </c>
      <c r="H24" s="41">
        <v>49950</v>
      </c>
      <c r="I24" s="34">
        <f t="shared" si="2"/>
        <v>5.5889453860341082E-2</v>
      </c>
    </row>
    <row r="25" spans="1:9" ht="30" customHeight="1" x14ac:dyDescent="0.2">
      <c r="A25" s="102"/>
      <c r="B25" s="102"/>
      <c r="C25" s="27" t="s">
        <v>21</v>
      </c>
      <c r="D25" s="40">
        <v>96905</v>
      </c>
      <c r="E25" s="40">
        <v>0</v>
      </c>
      <c r="F25" s="40">
        <v>0</v>
      </c>
      <c r="G25" s="40">
        <v>0</v>
      </c>
      <c r="H25" s="41">
        <v>96905</v>
      </c>
      <c r="I25" s="34">
        <f t="shared" si="2"/>
        <v>0.10842777830503209</v>
      </c>
    </row>
    <row r="26" spans="1:9" ht="24.75" customHeight="1" x14ac:dyDescent="0.2">
      <c r="A26" s="102"/>
      <c r="B26" s="102" t="s">
        <v>68</v>
      </c>
      <c r="C26" s="102"/>
      <c r="D26" s="40">
        <v>2047311</v>
      </c>
      <c r="E26" s="40">
        <v>0</v>
      </c>
      <c r="F26" s="40">
        <v>0</v>
      </c>
      <c r="G26" s="40">
        <v>0</v>
      </c>
      <c r="H26" s="41">
        <v>2047311</v>
      </c>
      <c r="I26" s="34">
        <f t="shared" si="2"/>
        <v>2.2907526260714466</v>
      </c>
    </row>
    <row r="27" spans="1:9" ht="15" customHeight="1" x14ac:dyDescent="0.2">
      <c r="A27" s="102"/>
      <c r="B27" s="102" t="s">
        <v>69</v>
      </c>
      <c r="C27" s="27" t="s">
        <v>15</v>
      </c>
      <c r="D27" s="40">
        <v>1000957</v>
      </c>
      <c r="E27" s="40">
        <v>0</v>
      </c>
      <c r="F27" s="40">
        <v>0</v>
      </c>
      <c r="G27" s="40">
        <v>23588</v>
      </c>
      <c r="H27" s="41">
        <v>1024545</v>
      </c>
      <c r="I27" s="34">
        <f t="shared" si="2"/>
        <v>1.1463715816885516</v>
      </c>
    </row>
    <row r="28" spans="1:9" ht="15" customHeight="1" x14ac:dyDescent="0.2">
      <c r="A28" s="102"/>
      <c r="B28" s="102"/>
      <c r="C28" s="27" t="s">
        <v>16</v>
      </c>
      <c r="D28" s="40">
        <v>15900</v>
      </c>
      <c r="E28" s="40">
        <v>0</v>
      </c>
      <c r="F28" s="40">
        <v>0</v>
      </c>
      <c r="G28" s="40">
        <v>0</v>
      </c>
      <c r="H28" s="41">
        <v>15900</v>
      </c>
      <c r="I28" s="34">
        <f t="shared" si="2"/>
        <v>1.7790636964553016E-2</v>
      </c>
    </row>
    <row r="29" spans="1:9" ht="15" customHeight="1" x14ac:dyDescent="0.2">
      <c r="A29" s="102"/>
      <c r="B29" s="102"/>
      <c r="C29" s="27" t="s">
        <v>19</v>
      </c>
      <c r="D29" s="40">
        <v>0</v>
      </c>
      <c r="E29" s="40">
        <v>0</v>
      </c>
      <c r="F29" s="40">
        <v>0</v>
      </c>
      <c r="G29" s="40">
        <v>0</v>
      </c>
      <c r="H29" s="41">
        <v>0</v>
      </c>
      <c r="I29" s="34">
        <f t="shared" si="2"/>
        <v>0</v>
      </c>
    </row>
    <row r="30" spans="1:9" ht="27.75" customHeight="1" x14ac:dyDescent="0.2">
      <c r="A30" s="102"/>
      <c r="B30" s="102"/>
      <c r="C30" s="27" t="s">
        <v>21</v>
      </c>
      <c r="D30" s="40">
        <v>0</v>
      </c>
      <c r="E30" s="40">
        <v>0</v>
      </c>
      <c r="F30" s="40">
        <v>0</v>
      </c>
      <c r="G30" s="40">
        <v>91</v>
      </c>
      <c r="H30" s="41">
        <v>91</v>
      </c>
      <c r="I30" s="34">
        <f t="shared" si="2"/>
        <v>1.0182062665247325E-4</v>
      </c>
    </row>
    <row r="31" spans="1:9" ht="15" customHeight="1" x14ac:dyDescent="0.2">
      <c r="A31" s="102"/>
      <c r="B31" s="102" t="s">
        <v>70</v>
      </c>
      <c r="C31" s="102"/>
      <c r="D31" s="40">
        <v>1016857</v>
      </c>
      <c r="E31" s="40">
        <v>0</v>
      </c>
      <c r="F31" s="40">
        <v>0</v>
      </c>
      <c r="G31" s="40">
        <v>23679</v>
      </c>
      <c r="H31" s="41">
        <v>1040536</v>
      </c>
      <c r="I31" s="34">
        <f t="shared" si="2"/>
        <v>1.1642640392797572</v>
      </c>
    </row>
    <row r="32" spans="1:9" ht="15" customHeight="1" x14ac:dyDescent="0.2">
      <c r="A32" s="102"/>
      <c r="B32" s="102" t="s">
        <v>71</v>
      </c>
      <c r="C32" s="27" t="s">
        <v>15</v>
      </c>
      <c r="D32" s="40">
        <v>121587</v>
      </c>
      <c r="E32" s="40">
        <v>0</v>
      </c>
      <c r="F32" s="40">
        <v>0</v>
      </c>
      <c r="G32" s="40">
        <v>0</v>
      </c>
      <c r="H32" s="41">
        <v>121587</v>
      </c>
      <c r="I32" s="34">
        <f t="shared" si="2"/>
        <v>0.13604466519554137</v>
      </c>
    </row>
    <row r="33" spans="1:9" ht="15" customHeight="1" x14ac:dyDescent="0.2">
      <c r="A33" s="102"/>
      <c r="B33" s="102"/>
      <c r="C33" s="27" t="s">
        <v>16</v>
      </c>
      <c r="D33" s="40">
        <v>9033</v>
      </c>
      <c r="E33" s="40">
        <v>0</v>
      </c>
      <c r="F33" s="40">
        <v>0</v>
      </c>
      <c r="G33" s="40">
        <v>0</v>
      </c>
      <c r="H33" s="41">
        <v>9033</v>
      </c>
      <c r="I33" s="34">
        <f t="shared" si="2"/>
        <v>1.0107095830239459E-2</v>
      </c>
    </row>
    <row r="34" spans="1:9" ht="15" customHeight="1" x14ac:dyDescent="0.2">
      <c r="A34" s="102"/>
      <c r="B34" s="102" t="s">
        <v>72</v>
      </c>
      <c r="C34" s="102"/>
      <c r="D34" s="40">
        <v>130620</v>
      </c>
      <c r="E34" s="40">
        <v>0</v>
      </c>
      <c r="F34" s="40">
        <v>0</v>
      </c>
      <c r="G34" s="40">
        <v>0</v>
      </c>
      <c r="H34" s="41">
        <v>130620</v>
      </c>
      <c r="I34" s="34">
        <f t="shared" si="2"/>
        <v>0.14615176102578081</v>
      </c>
    </row>
    <row r="35" spans="1:9" ht="15" customHeight="1" x14ac:dyDescent="0.2">
      <c r="A35" s="102"/>
      <c r="B35" s="102" t="s">
        <v>73</v>
      </c>
      <c r="C35" s="27" t="s">
        <v>16</v>
      </c>
      <c r="D35" s="40">
        <v>35000</v>
      </c>
      <c r="E35" s="40">
        <v>0</v>
      </c>
      <c r="F35" s="40">
        <v>0</v>
      </c>
      <c r="G35" s="40">
        <v>0</v>
      </c>
      <c r="H35" s="41">
        <v>35000</v>
      </c>
      <c r="I35" s="34">
        <f t="shared" si="2"/>
        <v>3.9161779481720477E-2</v>
      </c>
    </row>
    <row r="36" spans="1:9" ht="24.75" customHeight="1" x14ac:dyDescent="0.2">
      <c r="A36" s="102"/>
      <c r="B36" s="102"/>
      <c r="C36" s="27" t="s">
        <v>18</v>
      </c>
      <c r="D36" s="40">
        <v>1233120</v>
      </c>
      <c r="E36" s="40">
        <v>0</v>
      </c>
      <c r="F36" s="40">
        <v>0</v>
      </c>
      <c r="G36" s="40">
        <v>0</v>
      </c>
      <c r="H36" s="41">
        <v>1233120</v>
      </c>
      <c r="I36" s="34">
        <f t="shared" si="2"/>
        <v>1.379747814699976</v>
      </c>
    </row>
    <row r="37" spans="1:9" ht="25.5" customHeight="1" x14ac:dyDescent="0.2">
      <c r="A37" s="102"/>
      <c r="B37" s="102" t="s">
        <v>74</v>
      </c>
      <c r="C37" s="102"/>
      <c r="D37" s="40">
        <v>1268120</v>
      </c>
      <c r="E37" s="40">
        <v>0</v>
      </c>
      <c r="F37" s="40">
        <v>0</v>
      </c>
      <c r="G37" s="40">
        <v>0</v>
      </c>
      <c r="H37" s="41">
        <v>1268120</v>
      </c>
      <c r="I37" s="34">
        <f t="shared" si="2"/>
        <v>1.4189095941816965</v>
      </c>
    </row>
    <row r="38" spans="1:9" s="4" customFormat="1" ht="15" customHeight="1" x14ac:dyDescent="0.25">
      <c r="A38" s="106" t="s">
        <v>75</v>
      </c>
      <c r="B38" s="106"/>
      <c r="C38" s="106"/>
      <c r="D38" s="42">
        <v>4462908</v>
      </c>
      <c r="E38" s="42">
        <v>0</v>
      </c>
      <c r="F38" s="42">
        <v>0</v>
      </c>
      <c r="G38" s="42">
        <v>23679</v>
      </c>
      <c r="H38" s="43">
        <v>4486587</v>
      </c>
      <c r="I38" s="32">
        <f t="shared" si="2"/>
        <v>5.0200780205586808</v>
      </c>
    </row>
    <row r="39" spans="1:9" ht="15" customHeight="1" x14ac:dyDescent="0.2">
      <c r="A39" s="102" t="s">
        <v>38</v>
      </c>
      <c r="B39" s="102" t="s">
        <v>76</v>
      </c>
      <c r="C39" s="27" t="s">
        <v>15</v>
      </c>
      <c r="D39" s="40">
        <v>510857</v>
      </c>
      <c r="E39" s="40">
        <v>0</v>
      </c>
      <c r="F39" s="40">
        <v>0</v>
      </c>
      <c r="G39" s="40">
        <v>0</v>
      </c>
      <c r="H39" s="41">
        <v>510857</v>
      </c>
      <c r="I39" s="34">
        <f t="shared" si="2"/>
        <v>0.57160197659123657</v>
      </c>
    </row>
    <row r="40" spans="1:9" ht="15" customHeight="1" x14ac:dyDescent="0.2">
      <c r="A40" s="102"/>
      <c r="B40" s="102"/>
      <c r="C40" s="27" t="s">
        <v>16</v>
      </c>
      <c r="D40" s="40">
        <v>125296</v>
      </c>
      <c r="E40" s="40">
        <v>0</v>
      </c>
      <c r="F40" s="40">
        <v>0</v>
      </c>
      <c r="G40" s="40">
        <v>0</v>
      </c>
      <c r="H40" s="41">
        <v>125296</v>
      </c>
      <c r="I40" s="34">
        <f t="shared" si="2"/>
        <v>0.14019469491261854</v>
      </c>
    </row>
    <row r="41" spans="1:9" ht="15" customHeight="1" x14ac:dyDescent="0.2">
      <c r="A41" s="102"/>
      <c r="B41" s="102"/>
      <c r="C41" s="27" t="s">
        <v>19</v>
      </c>
      <c r="D41" s="40">
        <v>1000</v>
      </c>
      <c r="E41" s="40">
        <v>0</v>
      </c>
      <c r="F41" s="40">
        <v>0</v>
      </c>
      <c r="G41" s="40">
        <v>0</v>
      </c>
      <c r="H41" s="41">
        <v>1000</v>
      </c>
      <c r="I41" s="34">
        <f t="shared" si="2"/>
        <v>1.1189079851920136E-3</v>
      </c>
    </row>
    <row r="42" spans="1:9" ht="15" customHeight="1" x14ac:dyDescent="0.2">
      <c r="A42" s="102"/>
      <c r="B42" s="102" t="s">
        <v>77</v>
      </c>
      <c r="C42" s="102"/>
      <c r="D42" s="40">
        <v>637153</v>
      </c>
      <c r="E42" s="40">
        <v>0</v>
      </c>
      <c r="F42" s="40">
        <v>0</v>
      </c>
      <c r="G42" s="40">
        <v>0</v>
      </c>
      <c r="H42" s="41">
        <v>637153</v>
      </c>
      <c r="I42" s="34">
        <f t="shared" si="2"/>
        <v>0.71291557948904705</v>
      </c>
    </row>
    <row r="43" spans="1:9" ht="15" customHeight="1" x14ac:dyDescent="0.2">
      <c r="A43" s="102"/>
      <c r="B43" s="102" t="s">
        <v>78</v>
      </c>
      <c r="C43" s="27" t="s">
        <v>16</v>
      </c>
      <c r="D43" s="40">
        <v>6460</v>
      </c>
      <c r="E43" s="40">
        <v>0</v>
      </c>
      <c r="F43" s="40">
        <v>0</v>
      </c>
      <c r="G43" s="40">
        <v>0</v>
      </c>
      <c r="H43" s="41">
        <v>6460</v>
      </c>
      <c r="I43" s="34">
        <f t="shared" si="2"/>
        <v>7.2281455843404086E-3</v>
      </c>
    </row>
    <row r="44" spans="1:9" ht="15" customHeight="1" x14ac:dyDescent="0.2">
      <c r="A44" s="102"/>
      <c r="B44" s="102"/>
      <c r="C44" s="27" t="s">
        <v>19</v>
      </c>
      <c r="D44" s="40">
        <v>113576</v>
      </c>
      <c r="E44" s="40">
        <v>0</v>
      </c>
      <c r="F44" s="40">
        <v>0</v>
      </c>
      <c r="G44" s="40">
        <v>0</v>
      </c>
      <c r="H44" s="41">
        <v>113576</v>
      </c>
      <c r="I44" s="34">
        <f t="shared" si="2"/>
        <v>0.12708109332616815</v>
      </c>
    </row>
    <row r="45" spans="1:9" ht="27" customHeight="1" x14ac:dyDescent="0.2">
      <c r="A45" s="102"/>
      <c r="B45" s="102"/>
      <c r="C45" s="27" t="s">
        <v>21</v>
      </c>
      <c r="D45" s="40">
        <v>15500</v>
      </c>
      <c r="E45" s="40">
        <v>0</v>
      </c>
      <c r="F45" s="40">
        <v>0</v>
      </c>
      <c r="G45" s="40">
        <v>0</v>
      </c>
      <c r="H45" s="41">
        <v>15500</v>
      </c>
      <c r="I45" s="34">
        <f t="shared" si="2"/>
        <v>1.7343073770476211E-2</v>
      </c>
    </row>
    <row r="46" spans="1:9" ht="24" customHeight="1" x14ac:dyDescent="0.2">
      <c r="A46" s="102"/>
      <c r="B46" s="102" t="s">
        <v>79</v>
      </c>
      <c r="C46" s="102"/>
      <c r="D46" s="40">
        <v>135536</v>
      </c>
      <c r="E46" s="40">
        <v>0</v>
      </c>
      <c r="F46" s="40">
        <v>0</v>
      </c>
      <c r="G46" s="40">
        <v>0</v>
      </c>
      <c r="H46" s="41">
        <v>135536</v>
      </c>
      <c r="I46" s="34">
        <f t="shared" si="2"/>
        <v>0.15165231268098475</v>
      </c>
    </row>
    <row r="47" spans="1:9" s="4" customFormat="1" ht="15" customHeight="1" x14ac:dyDescent="0.25">
      <c r="A47" s="106" t="s">
        <v>80</v>
      </c>
      <c r="B47" s="106"/>
      <c r="C47" s="106"/>
      <c r="D47" s="42">
        <v>772689</v>
      </c>
      <c r="E47" s="42">
        <v>0</v>
      </c>
      <c r="F47" s="42">
        <v>0</v>
      </c>
      <c r="G47" s="42">
        <v>0</v>
      </c>
      <c r="H47" s="43">
        <v>772689</v>
      </c>
      <c r="I47" s="32">
        <f t="shared" si="2"/>
        <v>0.86456789217003183</v>
      </c>
    </row>
    <row r="48" spans="1:9" ht="15" customHeight="1" x14ac:dyDescent="0.2">
      <c r="A48" s="102" t="s">
        <v>39</v>
      </c>
      <c r="B48" s="102" t="s">
        <v>81</v>
      </c>
      <c r="C48" s="27" t="s">
        <v>15</v>
      </c>
      <c r="D48" s="40">
        <v>432270</v>
      </c>
      <c r="E48" s="40">
        <v>0</v>
      </c>
      <c r="F48" s="40">
        <v>0</v>
      </c>
      <c r="G48" s="40">
        <v>0</v>
      </c>
      <c r="H48" s="41">
        <v>432270</v>
      </c>
      <c r="I48" s="34">
        <f t="shared" si="2"/>
        <v>0.48367035475895176</v>
      </c>
    </row>
    <row r="49" spans="1:9" ht="15" customHeight="1" x14ac:dyDescent="0.2">
      <c r="A49" s="102"/>
      <c r="B49" s="102"/>
      <c r="C49" s="27" t="s">
        <v>16</v>
      </c>
      <c r="D49" s="40">
        <v>196569</v>
      </c>
      <c r="E49" s="40">
        <v>0</v>
      </c>
      <c r="F49" s="40">
        <v>0</v>
      </c>
      <c r="G49" s="40">
        <v>0</v>
      </c>
      <c r="H49" s="41">
        <v>196569</v>
      </c>
      <c r="I49" s="34">
        <f t="shared" si="2"/>
        <v>0.21994262374120893</v>
      </c>
    </row>
    <row r="50" spans="1:9" ht="15" customHeight="1" x14ac:dyDescent="0.2">
      <c r="A50" s="102"/>
      <c r="B50" s="102"/>
      <c r="C50" s="27" t="s">
        <v>17</v>
      </c>
      <c r="D50" s="40">
        <v>24000</v>
      </c>
      <c r="E50" s="40">
        <v>0</v>
      </c>
      <c r="F50" s="40">
        <v>0</v>
      </c>
      <c r="G50" s="40">
        <v>0</v>
      </c>
      <c r="H50" s="41">
        <v>24000</v>
      </c>
      <c r="I50" s="34">
        <f t="shared" si="2"/>
        <v>2.6853791644608327E-2</v>
      </c>
    </row>
    <row r="51" spans="1:9" ht="15" customHeight="1" x14ac:dyDescent="0.2">
      <c r="A51" s="102"/>
      <c r="B51" s="102"/>
      <c r="C51" s="27" t="s">
        <v>19</v>
      </c>
      <c r="D51" s="40">
        <v>0</v>
      </c>
      <c r="E51" s="40">
        <v>0</v>
      </c>
      <c r="F51" s="40">
        <v>0</v>
      </c>
      <c r="G51" s="40">
        <v>0</v>
      </c>
      <c r="H51" s="41">
        <v>0</v>
      </c>
      <c r="I51" s="34">
        <f t="shared" si="2"/>
        <v>0</v>
      </c>
    </row>
    <row r="52" spans="1:9" ht="24.75" customHeight="1" x14ac:dyDescent="0.2">
      <c r="A52" s="102"/>
      <c r="B52" s="102"/>
      <c r="C52" s="27" t="s">
        <v>20</v>
      </c>
      <c r="D52" s="40">
        <v>690</v>
      </c>
      <c r="E52" s="40">
        <v>0</v>
      </c>
      <c r="F52" s="40">
        <v>0</v>
      </c>
      <c r="G52" s="40">
        <v>0</v>
      </c>
      <c r="H52" s="41">
        <v>690</v>
      </c>
      <c r="I52" s="34">
        <f t="shared" si="2"/>
        <v>7.7204650978248942E-4</v>
      </c>
    </row>
    <row r="53" spans="1:9" ht="30.75" customHeight="1" x14ac:dyDescent="0.2">
      <c r="A53" s="102"/>
      <c r="B53" s="102"/>
      <c r="C53" s="27" t="s">
        <v>21</v>
      </c>
      <c r="D53" s="40">
        <v>1750</v>
      </c>
      <c r="E53" s="40">
        <v>0</v>
      </c>
      <c r="F53" s="40">
        <v>0</v>
      </c>
      <c r="G53" s="40">
        <v>0</v>
      </c>
      <c r="H53" s="41">
        <v>1750</v>
      </c>
      <c r="I53" s="34">
        <f t="shared" si="2"/>
        <v>1.9580889740860238E-3</v>
      </c>
    </row>
    <row r="54" spans="1:9" ht="25.5" customHeight="1" x14ac:dyDescent="0.2">
      <c r="A54" s="102"/>
      <c r="B54" s="102" t="s">
        <v>82</v>
      </c>
      <c r="C54" s="102"/>
      <c r="D54" s="40">
        <v>655279</v>
      </c>
      <c r="E54" s="40">
        <v>0</v>
      </c>
      <c r="F54" s="40">
        <v>0</v>
      </c>
      <c r="G54" s="40">
        <v>0</v>
      </c>
      <c r="H54" s="41">
        <v>655279</v>
      </c>
      <c r="I54" s="34">
        <f t="shared" si="2"/>
        <v>0.73319690562863749</v>
      </c>
    </row>
    <row r="55" spans="1:9" ht="15" customHeight="1" x14ac:dyDescent="0.2">
      <c r="A55" s="102"/>
      <c r="B55" s="102" t="s">
        <v>83</v>
      </c>
      <c r="C55" s="27" t="s">
        <v>15</v>
      </c>
      <c r="D55" s="40">
        <v>29658</v>
      </c>
      <c r="E55" s="40">
        <v>0</v>
      </c>
      <c r="F55" s="40">
        <v>0</v>
      </c>
      <c r="G55" s="40">
        <v>0</v>
      </c>
      <c r="H55" s="41">
        <v>29658</v>
      </c>
      <c r="I55" s="34">
        <f t="shared" si="2"/>
        <v>3.3184573024824741E-2</v>
      </c>
    </row>
    <row r="56" spans="1:9" ht="15" customHeight="1" x14ac:dyDescent="0.2">
      <c r="A56" s="102"/>
      <c r="B56" s="102"/>
      <c r="C56" s="27" t="s">
        <v>16</v>
      </c>
      <c r="D56" s="40">
        <v>153530</v>
      </c>
      <c r="E56" s="40">
        <v>0</v>
      </c>
      <c r="F56" s="40">
        <v>0</v>
      </c>
      <c r="G56" s="40">
        <v>0</v>
      </c>
      <c r="H56" s="41">
        <v>153530</v>
      </c>
      <c r="I56" s="34">
        <f t="shared" si="2"/>
        <v>0.17178594296652985</v>
      </c>
    </row>
    <row r="57" spans="1:9" ht="15" customHeight="1" x14ac:dyDescent="0.2">
      <c r="A57" s="102"/>
      <c r="B57" s="102"/>
      <c r="C57" s="27" t="s">
        <v>19</v>
      </c>
      <c r="D57" s="40">
        <v>170000</v>
      </c>
      <c r="E57" s="40">
        <v>0</v>
      </c>
      <c r="F57" s="40">
        <v>0</v>
      </c>
      <c r="G57" s="40">
        <v>0</v>
      </c>
      <c r="H57" s="41">
        <v>170000</v>
      </c>
      <c r="I57" s="34">
        <f t="shared" si="2"/>
        <v>0.19021435748264232</v>
      </c>
    </row>
    <row r="58" spans="1:9" ht="25.5" customHeight="1" x14ac:dyDescent="0.2">
      <c r="A58" s="102"/>
      <c r="B58" s="102" t="s">
        <v>84</v>
      </c>
      <c r="C58" s="102"/>
      <c r="D58" s="40">
        <v>353188</v>
      </c>
      <c r="E58" s="40">
        <v>0</v>
      </c>
      <c r="F58" s="40">
        <v>0</v>
      </c>
      <c r="G58" s="40">
        <v>0</v>
      </c>
      <c r="H58" s="41">
        <v>353188</v>
      </c>
      <c r="I58" s="34">
        <f t="shared" si="2"/>
        <v>0.39518487347399694</v>
      </c>
    </row>
    <row r="59" spans="1:9" ht="15" customHeight="1" x14ac:dyDescent="0.2">
      <c r="A59" s="102"/>
      <c r="B59" s="102" t="s">
        <v>85</v>
      </c>
      <c r="C59" s="27" t="s">
        <v>15</v>
      </c>
      <c r="D59" s="40">
        <v>351305</v>
      </c>
      <c r="E59" s="40">
        <v>0</v>
      </c>
      <c r="F59" s="40">
        <v>0</v>
      </c>
      <c r="G59" s="40">
        <v>0</v>
      </c>
      <c r="H59" s="41">
        <v>351305</v>
      </c>
      <c r="I59" s="34">
        <f t="shared" si="2"/>
        <v>0.39307796973788034</v>
      </c>
    </row>
    <row r="60" spans="1:9" ht="15" customHeight="1" x14ac:dyDescent="0.2">
      <c r="A60" s="102"/>
      <c r="B60" s="102"/>
      <c r="C60" s="27" t="s">
        <v>16</v>
      </c>
      <c r="D60" s="40">
        <v>10923</v>
      </c>
      <c r="E60" s="40">
        <v>0</v>
      </c>
      <c r="F60" s="40">
        <v>0</v>
      </c>
      <c r="G60" s="40">
        <v>0</v>
      </c>
      <c r="H60" s="41">
        <v>10923</v>
      </c>
      <c r="I60" s="34">
        <f t="shared" si="2"/>
        <v>1.2221831922252365E-2</v>
      </c>
    </row>
    <row r="61" spans="1:9" ht="15" customHeight="1" x14ac:dyDescent="0.2">
      <c r="A61" s="102"/>
      <c r="B61" s="102" t="s">
        <v>86</v>
      </c>
      <c r="C61" s="102"/>
      <c r="D61" s="40">
        <v>362228</v>
      </c>
      <c r="E61" s="40">
        <v>0</v>
      </c>
      <c r="F61" s="40">
        <v>0</v>
      </c>
      <c r="G61" s="40">
        <v>0</v>
      </c>
      <c r="H61" s="41">
        <v>362228</v>
      </c>
      <c r="I61" s="34">
        <f t="shared" si="2"/>
        <v>0.40529980166013274</v>
      </c>
    </row>
    <row r="62" spans="1:9" ht="15" customHeight="1" x14ac:dyDescent="0.2">
      <c r="A62" s="102"/>
      <c r="B62" s="102" t="s">
        <v>87</v>
      </c>
      <c r="C62" s="27" t="s">
        <v>16</v>
      </c>
      <c r="D62" s="40">
        <v>245000</v>
      </c>
      <c r="E62" s="40">
        <v>600</v>
      </c>
      <c r="F62" s="40">
        <v>0</v>
      </c>
      <c r="G62" s="40">
        <v>1268146</v>
      </c>
      <c r="H62" s="41">
        <v>1513746</v>
      </c>
      <c r="I62" s="34">
        <f t="shared" si="2"/>
        <v>1.69374248695247</v>
      </c>
    </row>
    <row r="63" spans="1:9" ht="15" customHeight="1" x14ac:dyDescent="0.2">
      <c r="A63" s="102"/>
      <c r="B63" s="102"/>
      <c r="C63" s="27" t="s">
        <v>19</v>
      </c>
      <c r="D63" s="40">
        <v>722500</v>
      </c>
      <c r="E63" s="40">
        <v>10085953</v>
      </c>
      <c r="F63" s="40">
        <v>0</v>
      </c>
      <c r="G63" s="40">
        <v>390760</v>
      </c>
      <c r="H63" s="41">
        <f>D63+E63+F63+G63</f>
        <v>11199213</v>
      </c>
      <c r="I63" s="34">
        <f t="shared" si="2"/>
        <v>12.530888853566207</v>
      </c>
    </row>
    <row r="64" spans="1:9" ht="15" customHeight="1" x14ac:dyDescent="0.2">
      <c r="A64" s="102"/>
      <c r="B64" s="102" t="s">
        <v>88</v>
      </c>
      <c r="C64" s="102"/>
      <c r="D64" s="40">
        <f>D62+D63</f>
        <v>967500</v>
      </c>
      <c r="E64" s="40">
        <v>10086553</v>
      </c>
      <c r="F64" s="40">
        <v>0</v>
      </c>
      <c r="G64" s="40">
        <v>1658906</v>
      </c>
      <c r="H64" s="41">
        <f>D64+E64+F64+G64</f>
        <v>12712959</v>
      </c>
      <c r="I64" s="34">
        <f t="shared" si="2"/>
        <v>14.224631340518677</v>
      </c>
    </row>
    <row r="65" spans="1:9" ht="15" customHeight="1" x14ac:dyDescent="0.2">
      <c r="A65" s="102"/>
      <c r="B65" s="102" t="s">
        <v>89</v>
      </c>
      <c r="C65" s="27" t="s">
        <v>15</v>
      </c>
      <c r="D65" s="40">
        <v>425159</v>
      </c>
      <c r="E65" s="40">
        <v>0</v>
      </c>
      <c r="F65" s="40">
        <v>0</v>
      </c>
      <c r="G65" s="40">
        <v>0</v>
      </c>
      <c r="H65" s="41">
        <v>425159</v>
      </c>
      <c r="I65" s="34">
        <f t="shared" si="2"/>
        <v>0.47571380007625136</v>
      </c>
    </row>
    <row r="66" spans="1:9" ht="15" customHeight="1" x14ac:dyDescent="0.2">
      <c r="A66" s="102"/>
      <c r="B66" s="102"/>
      <c r="C66" s="27" t="s">
        <v>16</v>
      </c>
      <c r="D66" s="40">
        <v>603640</v>
      </c>
      <c r="E66" s="40">
        <v>0</v>
      </c>
      <c r="F66" s="40">
        <v>0</v>
      </c>
      <c r="G66" s="40">
        <v>0</v>
      </c>
      <c r="H66" s="41">
        <v>603640</v>
      </c>
      <c r="I66" s="34">
        <f t="shared" si="2"/>
        <v>0.67541761618130713</v>
      </c>
    </row>
    <row r="67" spans="1:9" ht="15" customHeight="1" x14ac:dyDescent="0.2">
      <c r="A67" s="102"/>
      <c r="B67" s="102"/>
      <c r="C67" s="27" t="s">
        <v>19</v>
      </c>
      <c r="D67" s="40">
        <v>101600</v>
      </c>
      <c r="E67" s="40">
        <v>0</v>
      </c>
      <c r="F67" s="40">
        <v>0</v>
      </c>
      <c r="G67" s="40">
        <v>0</v>
      </c>
      <c r="H67" s="41">
        <v>101600</v>
      </c>
      <c r="I67" s="34">
        <f t="shared" si="2"/>
        <v>0.1136810512955086</v>
      </c>
    </row>
    <row r="68" spans="1:9" ht="15" customHeight="1" x14ac:dyDescent="0.2">
      <c r="A68" s="102"/>
      <c r="B68" s="102" t="s">
        <v>90</v>
      </c>
      <c r="C68" s="102"/>
      <c r="D68" s="40">
        <v>1130399</v>
      </c>
      <c r="E68" s="40">
        <v>0</v>
      </c>
      <c r="F68" s="40">
        <v>0</v>
      </c>
      <c r="G68" s="40">
        <v>0</v>
      </c>
      <c r="H68" s="41">
        <v>1130399</v>
      </c>
      <c r="I68" s="34">
        <f t="shared" si="2"/>
        <v>1.264812467553067</v>
      </c>
    </row>
    <row r="69" spans="1:9" ht="15" customHeight="1" x14ac:dyDescent="0.2">
      <c r="A69" s="102"/>
      <c r="B69" s="102" t="s">
        <v>91</v>
      </c>
      <c r="C69" s="27" t="s">
        <v>15</v>
      </c>
      <c r="D69" s="40">
        <v>349909</v>
      </c>
      <c r="E69" s="40">
        <v>72781</v>
      </c>
      <c r="F69" s="40">
        <v>0</v>
      </c>
      <c r="G69" s="40">
        <v>0</v>
      </c>
      <c r="H69" s="41">
        <v>422690</v>
      </c>
      <c r="I69" s="34">
        <f t="shared" si="2"/>
        <v>0.47295121626081227</v>
      </c>
    </row>
    <row r="70" spans="1:9" ht="15" customHeight="1" x14ac:dyDescent="0.2">
      <c r="A70" s="102"/>
      <c r="B70" s="102"/>
      <c r="C70" s="27" t="s">
        <v>16</v>
      </c>
      <c r="D70" s="40">
        <f>1122253-330000</f>
        <v>792253</v>
      </c>
      <c r="E70" s="40">
        <v>123840</v>
      </c>
      <c r="F70" s="40">
        <v>0</v>
      </c>
      <c r="G70" s="40">
        <v>0</v>
      </c>
      <c r="H70" s="41">
        <f>D70+E70+F70+G70</f>
        <v>916093</v>
      </c>
      <c r="I70" s="34">
        <f t="shared" si="2"/>
        <v>1.0250237728785074</v>
      </c>
    </row>
    <row r="71" spans="1:9" ht="15" customHeight="1" x14ac:dyDescent="0.2">
      <c r="A71" s="102"/>
      <c r="B71" s="102"/>
      <c r="C71" s="27" t="s">
        <v>17</v>
      </c>
      <c r="D71" s="40">
        <v>35000</v>
      </c>
      <c r="E71" s="40">
        <v>15000</v>
      </c>
      <c r="F71" s="40">
        <v>0</v>
      </c>
      <c r="G71" s="40">
        <v>0</v>
      </c>
      <c r="H71" s="41">
        <v>50000</v>
      </c>
      <c r="I71" s="34">
        <f t="shared" si="2"/>
        <v>5.5945399259600681E-2</v>
      </c>
    </row>
    <row r="72" spans="1:9" ht="15" customHeight="1" x14ac:dyDescent="0.2">
      <c r="A72" s="102"/>
      <c r="B72" s="102"/>
      <c r="C72" s="27" t="s">
        <v>19</v>
      </c>
      <c r="D72" s="40">
        <v>9450</v>
      </c>
      <c r="E72" s="40">
        <v>94660</v>
      </c>
      <c r="F72" s="40">
        <v>0</v>
      </c>
      <c r="G72" s="40">
        <v>0</v>
      </c>
      <c r="H72" s="41">
        <v>104110</v>
      </c>
      <c r="I72" s="34">
        <f t="shared" si="2"/>
        <v>0.11648951033834054</v>
      </c>
    </row>
    <row r="73" spans="1:9" ht="28.5" customHeight="1" x14ac:dyDescent="0.2">
      <c r="A73" s="102"/>
      <c r="B73" s="102"/>
      <c r="C73" s="27" t="s">
        <v>21</v>
      </c>
      <c r="D73" s="40">
        <v>35000</v>
      </c>
      <c r="E73" s="40">
        <v>0</v>
      </c>
      <c r="F73" s="40">
        <v>0</v>
      </c>
      <c r="G73" s="40">
        <v>0</v>
      </c>
      <c r="H73" s="41">
        <v>35000</v>
      </c>
      <c r="I73" s="34">
        <f t="shared" si="2"/>
        <v>3.9161779481720477E-2</v>
      </c>
    </row>
    <row r="74" spans="1:9" ht="15" customHeight="1" x14ac:dyDescent="0.2">
      <c r="A74" s="102"/>
      <c r="B74" s="102" t="s">
        <v>92</v>
      </c>
      <c r="C74" s="102"/>
      <c r="D74" s="40">
        <f>D69+D70+D71+D72+D73</f>
        <v>1221612</v>
      </c>
      <c r="E74" s="40">
        <f>E69+E70+E71+E72+E73</f>
        <v>306281</v>
      </c>
      <c r="F74" s="40">
        <f>F69+F70+F71+F72+F73</f>
        <v>0</v>
      </c>
      <c r="G74" s="40">
        <f>G69+G70+G71+G72+G73</f>
        <v>0</v>
      </c>
      <c r="H74" s="40">
        <f>H69+H70+H71+H72+H73</f>
        <v>1527893</v>
      </c>
      <c r="I74" s="34">
        <f t="shared" si="2"/>
        <v>1.7095716782189814</v>
      </c>
    </row>
    <row r="75" spans="1:9" s="4" customFormat="1" ht="15" customHeight="1" x14ac:dyDescent="0.25">
      <c r="A75" s="106" t="s">
        <v>93</v>
      </c>
      <c r="B75" s="106"/>
      <c r="C75" s="106"/>
      <c r="D75" s="42">
        <f>D54+D58+D61+D64+D68+D74</f>
        <v>4690206</v>
      </c>
      <c r="E75" s="42">
        <f>E54+E58+E61+E64+E68+E74</f>
        <v>10392834</v>
      </c>
      <c r="F75" s="42">
        <f>F54+F58+F61+F64+F68+F74</f>
        <v>0</v>
      </c>
      <c r="G75" s="42">
        <f>G54+G58+G61+G64+G68+G74</f>
        <v>1658906</v>
      </c>
      <c r="H75" s="42">
        <f>H54+H58+H61+H64+H68+H74</f>
        <v>16741946</v>
      </c>
      <c r="I75" s="32">
        <f t="shared" si="2"/>
        <v>18.732697067053493</v>
      </c>
    </row>
    <row r="76" spans="1:9" ht="15" customHeight="1" x14ac:dyDescent="0.2">
      <c r="A76" s="102" t="s">
        <v>40</v>
      </c>
      <c r="B76" s="27" t="s">
        <v>94</v>
      </c>
      <c r="C76" s="27" t="s">
        <v>17</v>
      </c>
      <c r="D76" s="40">
        <v>0</v>
      </c>
      <c r="E76" s="40">
        <v>0</v>
      </c>
      <c r="F76" s="40">
        <v>30000</v>
      </c>
      <c r="G76" s="40">
        <v>0</v>
      </c>
      <c r="H76" s="41">
        <v>30000</v>
      </c>
      <c r="I76" s="34">
        <f t="shared" si="2"/>
        <v>3.3567239555760409E-2</v>
      </c>
    </row>
    <row r="77" spans="1:9" ht="15" customHeight="1" x14ac:dyDescent="0.2">
      <c r="A77" s="102"/>
      <c r="B77" s="102" t="s">
        <v>95</v>
      </c>
      <c r="C77" s="27" t="s">
        <v>15</v>
      </c>
      <c r="D77" s="40">
        <v>0</v>
      </c>
      <c r="E77" s="40">
        <v>13139</v>
      </c>
      <c r="F77" s="40">
        <v>0</v>
      </c>
      <c r="G77" s="40">
        <v>0</v>
      </c>
      <c r="H77" s="41">
        <v>13139</v>
      </c>
      <c r="I77" s="34">
        <f t="shared" si="2"/>
        <v>1.4701332017437868E-2</v>
      </c>
    </row>
    <row r="78" spans="1:9" ht="15" customHeight="1" x14ac:dyDescent="0.2">
      <c r="A78" s="102"/>
      <c r="B78" s="102"/>
      <c r="C78" s="27" t="s">
        <v>16</v>
      </c>
      <c r="D78" s="40">
        <v>0</v>
      </c>
      <c r="E78" s="40">
        <v>35816</v>
      </c>
      <c r="F78" s="40">
        <v>0</v>
      </c>
      <c r="G78" s="40">
        <v>0</v>
      </c>
      <c r="H78" s="41">
        <v>35816</v>
      </c>
      <c r="I78" s="34">
        <f t="shared" si="2"/>
        <v>4.0074808397637163E-2</v>
      </c>
    </row>
    <row r="79" spans="1:9" ht="15" customHeight="1" x14ac:dyDescent="0.2">
      <c r="A79" s="102"/>
      <c r="B79" s="102"/>
      <c r="C79" s="27" t="s">
        <v>19</v>
      </c>
      <c r="D79" s="40">
        <v>0</v>
      </c>
      <c r="E79" s="40">
        <v>268705</v>
      </c>
      <c r="F79" s="40">
        <v>0</v>
      </c>
      <c r="G79" s="40">
        <v>0</v>
      </c>
      <c r="H79" s="41">
        <v>268705</v>
      </c>
      <c r="I79" s="34">
        <f t="shared" si="2"/>
        <v>0.30065617016102003</v>
      </c>
    </row>
    <row r="80" spans="1:9" ht="15" customHeight="1" x14ac:dyDescent="0.2">
      <c r="A80" s="102"/>
      <c r="B80" s="102" t="s">
        <v>96</v>
      </c>
      <c r="C80" s="102"/>
      <c r="D80" s="40">
        <v>0</v>
      </c>
      <c r="E80" s="40">
        <v>317660</v>
      </c>
      <c r="F80" s="40">
        <v>0</v>
      </c>
      <c r="G80" s="40">
        <v>0</v>
      </c>
      <c r="H80" s="41">
        <v>317660</v>
      </c>
      <c r="I80" s="34">
        <f t="shared" si="2"/>
        <v>0.35543231057609509</v>
      </c>
    </row>
    <row r="81" spans="1:9" ht="15" customHeight="1" x14ac:dyDescent="0.2">
      <c r="A81" s="102"/>
      <c r="B81" s="27" t="s">
        <v>97</v>
      </c>
      <c r="C81" s="27" t="s">
        <v>19</v>
      </c>
      <c r="D81" s="40">
        <v>0</v>
      </c>
      <c r="E81" s="40">
        <v>0</v>
      </c>
      <c r="F81" s="40">
        <v>0</v>
      </c>
      <c r="G81" s="40">
        <v>0</v>
      </c>
      <c r="H81" s="41">
        <v>0</v>
      </c>
      <c r="I81" s="34">
        <f t="shared" si="2"/>
        <v>0</v>
      </c>
    </row>
    <row r="82" spans="1:9" ht="15" customHeight="1" x14ac:dyDescent="0.2">
      <c r="A82" s="102"/>
      <c r="B82" s="102" t="s">
        <v>98</v>
      </c>
      <c r="C82" s="27" t="s">
        <v>15</v>
      </c>
      <c r="D82" s="40">
        <v>102489</v>
      </c>
      <c r="E82" s="40">
        <v>0</v>
      </c>
      <c r="F82" s="40">
        <v>0</v>
      </c>
      <c r="G82" s="40">
        <v>0</v>
      </c>
      <c r="H82" s="41">
        <v>102489</v>
      </c>
      <c r="I82" s="34">
        <f t="shared" si="2"/>
        <v>0.11467576049434429</v>
      </c>
    </row>
    <row r="83" spans="1:9" ht="15" customHeight="1" x14ac:dyDescent="0.2">
      <c r="A83" s="102"/>
      <c r="B83" s="102"/>
      <c r="C83" s="27" t="s">
        <v>16</v>
      </c>
      <c r="D83" s="40">
        <v>88300</v>
      </c>
      <c r="E83" s="40">
        <v>0</v>
      </c>
      <c r="F83" s="40">
        <v>1111000</v>
      </c>
      <c r="G83" s="40">
        <v>0</v>
      </c>
      <c r="H83" s="41">
        <v>1199300</v>
      </c>
      <c r="I83" s="34">
        <f t="shared" si="2"/>
        <v>1.3419063466407819</v>
      </c>
    </row>
    <row r="84" spans="1:9" ht="15" customHeight="1" x14ac:dyDescent="0.2">
      <c r="A84" s="102"/>
      <c r="B84" s="102"/>
      <c r="C84" s="27" t="s">
        <v>17</v>
      </c>
      <c r="D84" s="40">
        <v>0</v>
      </c>
      <c r="E84" s="40">
        <v>0</v>
      </c>
      <c r="F84" s="40">
        <v>614800</v>
      </c>
      <c r="G84" s="40">
        <v>0</v>
      </c>
      <c r="H84" s="41">
        <v>614800</v>
      </c>
      <c r="I84" s="34">
        <f t="shared" si="2"/>
        <v>0.68790462929605001</v>
      </c>
    </row>
    <row r="85" spans="1:9" ht="15" customHeight="1" x14ac:dyDescent="0.2">
      <c r="A85" s="102"/>
      <c r="B85" s="102"/>
      <c r="C85" s="27" t="s">
        <v>19</v>
      </c>
      <c r="D85" s="40">
        <v>4500</v>
      </c>
      <c r="E85" s="40">
        <v>0</v>
      </c>
      <c r="F85" s="40">
        <v>25000</v>
      </c>
      <c r="G85" s="40">
        <v>0</v>
      </c>
      <c r="H85" s="41">
        <v>29500</v>
      </c>
      <c r="I85" s="34">
        <f t="shared" si="2"/>
        <v>3.3007785563164402E-2</v>
      </c>
    </row>
    <row r="86" spans="1:9" ht="15" customHeight="1" x14ac:dyDescent="0.2">
      <c r="A86" s="102"/>
      <c r="B86" s="102" t="s">
        <v>99</v>
      </c>
      <c r="C86" s="102"/>
      <c r="D86" s="40">
        <v>195289</v>
      </c>
      <c r="E86" s="40">
        <v>0</v>
      </c>
      <c r="F86" s="40">
        <v>1750800</v>
      </c>
      <c r="G86" s="40">
        <v>0</v>
      </c>
      <c r="H86" s="41">
        <v>1946089</v>
      </c>
      <c r="I86" s="34">
        <f t="shared" ref="I86:I149" si="3">H86*100/$H$194</f>
        <v>2.1774945219943409</v>
      </c>
    </row>
    <row r="87" spans="1:9" s="4" customFormat="1" ht="15" customHeight="1" x14ac:dyDescent="0.25">
      <c r="A87" s="106" t="s">
        <v>100</v>
      </c>
      <c r="B87" s="106"/>
      <c r="C87" s="106"/>
      <c r="D87" s="42">
        <v>195289</v>
      </c>
      <c r="E87" s="42">
        <v>317660</v>
      </c>
      <c r="F87" s="42">
        <v>1780800</v>
      </c>
      <c r="G87" s="42">
        <v>0</v>
      </c>
      <c r="H87" s="43">
        <v>2293749</v>
      </c>
      <c r="I87" s="32">
        <f t="shared" si="3"/>
        <v>2.5664940721261962</v>
      </c>
    </row>
    <row r="88" spans="1:9" ht="15" customHeight="1" x14ac:dyDescent="0.2">
      <c r="A88" s="102" t="s">
        <v>41</v>
      </c>
      <c r="B88" s="102" t="s">
        <v>101</v>
      </c>
      <c r="C88" s="27" t="s">
        <v>16</v>
      </c>
      <c r="D88" s="40">
        <v>92226</v>
      </c>
      <c r="E88" s="40">
        <v>0</v>
      </c>
      <c r="F88" s="40">
        <v>0</v>
      </c>
      <c r="G88" s="40">
        <v>0</v>
      </c>
      <c r="H88" s="41">
        <v>92226</v>
      </c>
      <c r="I88" s="34">
        <f t="shared" si="3"/>
        <v>0.10319240784231866</v>
      </c>
    </row>
    <row r="89" spans="1:9" ht="15" customHeight="1" x14ac:dyDescent="0.2">
      <c r="A89" s="102"/>
      <c r="B89" s="102"/>
      <c r="C89" s="27" t="s">
        <v>17</v>
      </c>
      <c r="D89" s="40">
        <v>6000</v>
      </c>
      <c r="E89" s="40">
        <v>0</v>
      </c>
      <c r="F89" s="40">
        <v>0</v>
      </c>
      <c r="G89" s="40">
        <v>0</v>
      </c>
      <c r="H89" s="41">
        <v>6000</v>
      </c>
      <c r="I89" s="34">
        <f t="shared" si="3"/>
        <v>6.7134479111520817E-3</v>
      </c>
    </row>
    <row r="90" spans="1:9" ht="15" customHeight="1" x14ac:dyDescent="0.2">
      <c r="A90" s="102"/>
      <c r="B90" s="102" t="s">
        <v>102</v>
      </c>
      <c r="C90" s="102"/>
      <c r="D90" s="40">
        <v>98226</v>
      </c>
      <c r="E90" s="40">
        <v>0</v>
      </c>
      <c r="F90" s="40">
        <v>0</v>
      </c>
      <c r="G90" s="40">
        <v>0</v>
      </c>
      <c r="H90" s="41">
        <v>98226</v>
      </c>
      <c r="I90" s="34">
        <f t="shared" si="3"/>
        <v>0.10990585575347074</v>
      </c>
    </row>
    <row r="91" spans="1:9" ht="15" customHeight="1" x14ac:dyDescent="0.2">
      <c r="A91" s="102"/>
      <c r="B91" s="102" t="s">
        <v>103</v>
      </c>
      <c r="C91" s="27" t="s">
        <v>15</v>
      </c>
      <c r="D91" s="40">
        <v>106519</v>
      </c>
      <c r="E91" s="40">
        <v>0</v>
      </c>
      <c r="F91" s="40">
        <v>0</v>
      </c>
      <c r="G91" s="40">
        <v>0</v>
      </c>
      <c r="H91" s="41">
        <v>106519</v>
      </c>
      <c r="I91" s="34">
        <f t="shared" si="3"/>
        <v>0.11918495967466811</v>
      </c>
    </row>
    <row r="92" spans="1:9" ht="15" customHeight="1" x14ac:dyDescent="0.2">
      <c r="A92" s="102"/>
      <c r="B92" s="102"/>
      <c r="C92" s="27" t="s">
        <v>16</v>
      </c>
      <c r="D92" s="40">
        <v>592</v>
      </c>
      <c r="E92" s="40">
        <v>0</v>
      </c>
      <c r="F92" s="40">
        <v>0</v>
      </c>
      <c r="G92" s="40">
        <v>0</v>
      </c>
      <c r="H92" s="41">
        <v>592</v>
      </c>
      <c r="I92" s="34">
        <f t="shared" si="3"/>
        <v>6.6239352723367214E-4</v>
      </c>
    </row>
    <row r="93" spans="1:9" ht="15" customHeight="1" x14ac:dyDescent="0.2">
      <c r="A93" s="102"/>
      <c r="B93" s="102"/>
      <c r="C93" s="27" t="s">
        <v>19</v>
      </c>
      <c r="D93" s="40">
        <v>86346</v>
      </c>
      <c r="E93" s="40">
        <v>0</v>
      </c>
      <c r="F93" s="40">
        <v>0</v>
      </c>
      <c r="G93" s="40">
        <v>0</v>
      </c>
      <c r="H93" s="41">
        <v>86346</v>
      </c>
      <c r="I93" s="34">
        <f t="shared" si="3"/>
        <v>9.6613228889389613E-2</v>
      </c>
    </row>
    <row r="94" spans="1:9" ht="15" customHeight="1" x14ac:dyDescent="0.2">
      <c r="A94" s="102"/>
      <c r="B94" s="102" t="s">
        <v>104</v>
      </c>
      <c r="C94" s="102"/>
      <c r="D94" s="40">
        <v>193457</v>
      </c>
      <c r="E94" s="40">
        <v>0</v>
      </c>
      <c r="F94" s="40">
        <v>0</v>
      </c>
      <c r="G94" s="40">
        <v>0</v>
      </c>
      <c r="H94" s="41">
        <v>193457</v>
      </c>
      <c r="I94" s="34">
        <f t="shared" si="3"/>
        <v>0.21646058209129138</v>
      </c>
    </row>
    <row r="95" spans="1:9" ht="19.5" customHeight="1" x14ac:dyDescent="0.2">
      <c r="A95" s="102"/>
      <c r="B95" s="27" t="s">
        <v>105</v>
      </c>
      <c r="C95" s="27" t="s">
        <v>16</v>
      </c>
      <c r="D95" s="40">
        <v>242155</v>
      </c>
      <c r="E95" s="40">
        <v>0</v>
      </c>
      <c r="F95" s="40">
        <v>0</v>
      </c>
      <c r="G95" s="40">
        <v>0</v>
      </c>
      <c r="H95" s="41">
        <v>242155</v>
      </c>
      <c r="I95" s="34">
        <f t="shared" si="3"/>
        <v>0.27094916315417206</v>
      </c>
    </row>
    <row r="96" spans="1:9" ht="15" customHeight="1" x14ac:dyDescent="0.2">
      <c r="A96" s="102"/>
      <c r="B96" s="102" t="s">
        <v>106</v>
      </c>
      <c r="C96" s="27" t="s">
        <v>15</v>
      </c>
      <c r="D96" s="40">
        <v>2891497</v>
      </c>
      <c r="E96" s="40">
        <v>0</v>
      </c>
      <c r="F96" s="40">
        <v>0</v>
      </c>
      <c r="G96" s="40">
        <v>0</v>
      </c>
      <c r="H96" s="41">
        <v>2891497</v>
      </c>
      <c r="I96" s="34">
        <f t="shared" si="3"/>
        <v>3.2353190824587519</v>
      </c>
    </row>
    <row r="97" spans="1:9" ht="15" customHeight="1" x14ac:dyDescent="0.2">
      <c r="A97" s="102"/>
      <c r="B97" s="102"/>
      <c r="C97" s="27" t="s">
        <v>16</v>
      </c>
      <c r="D97" s="40">
        <v>2866654</v>
      </c>
      <c r="E97" s="40">
        <v>0</v>
      </c>
      <c r="F97" s="40">
        <v>0</v>
      </c>
      <c r="G97" s="40">
        <v>0</v>
      </c>
      <c r="H97" s="41">
        <v>2866654</v>
      </c>
      <c r="I97" s="34">
        <f t="shared" si="3"/>
        <v>3.2075220513826266</v>
      </c>
    </row>
    <row r="98" spans="1:9" ht="15" customHeight="1" x14ac:dyDescent="0.2">
      <c r="A98" s="102"/>
      <c r="B98" s="102"/>
      <c r="C98" s="27" t="s">
        <v>17</v>
      </c>
      <c r="D98" s="40">
        <v>570233</v>
      </c>
      <c r="E98" s="40">
        <v>30000</v>
      </c>
      <c r="F98" s="40">
        <v>0</v>
      </c>
      <c r="G98" s="40">
        <v>0</v>
      </c>
      <c r="H98" s="41">
        <f>D98+E98+F98+G98</f>
        <v>600233</v>
      </c>
      <c r="I98" s="34">
        <f t="shared" si="3"/>
        <v>0.67160549667575797</v>
      </c>
    </row>
    <row r="99" spans="1:9" ht="15" customHeight="1" x14ac:dyDescent="0.2">
      <c r="A99" s="102"/>
      <c r="B99" s="102"/>
      <c r="C99" s="27" t="s">
        <v>19</v>
      </c>
      <c r="D99" s="40">
        <v>128976</v>
      </c>
      <c r="E99" s="40">
        <v>624031</v>
      </c>
      <c r="F99" s="40">
        <v>0</v>
      </c>
      <c r="G99" s="40">
        <v>0</v>
      </c>
      <c r="H99" s="41">
        <v>753007</v>
      </c>
      <c r="I99" s="34">
        <f t="shared" si="3"/>
        <v>0.84254554520548264</v>
      </c>
    </row>
    <row r="100" spans="1:9" ht="30.75" customHeight="1" x14ac:dyDescent="0.2">
      <c r="A100" s="102"/>
      <c r="B100" s="102" t="s">
        <v>107</v>
      </c>
      <c r="C100" s="102"/>
      <c r="D100" s="40">
        <f>D96+D97+D98+D99</f>
        <v>6457360</v>
      </c>
      <c r="E100" s="40">
        <f>E96+E97+E98+E99</f>
        <v>654031</v>
      </c>
      <c r="F100" s="40">
        <f>F96+F97+F98+F99</f>
        <v>0</v>
      </c>
      <c r="G100" s="40">
        <f>G96+G97+G98+G99</f>
        <v>0</v>
      </c>
      <c r="H100" s="40">
        <f>H96+H97+H98+H99</f>
        <v>7111391</v>
      </c>
      <c r="I100" s="34">
        <f t="shared" si="3"/>
        <v>7.9569921757226192</v>
      </c>
    </row>
    <row r="101" spans="1:9" s="4" customFormat="1" ht="15" customHeight="1" x14ac:dyDescent="0.25">
      <c r="A101" s="106" t="s">
        <v>108</v>
      </c>
      <c r="B101" s="106"/>
      <c r="C101" s="106"/>
      <c r="D101" s="42">
        <f>D100+D95+D94+D90</f>
        <v>6991198</v>
      </c>
      <c r="E101" s="42">
        <f>E100+E95+E94+E90</f>
        <v>654031</v>
      </c>
      <c r="F101" s="42">
        <f>F100+F95+F94+F90</f>
        <v>0</v>
      </c>
      <c r="G101" s="42">
        <f>G100+G95+G94+G90</f>
        <v>0</v>
      </c>
      <c r="H101" s="42">
        <f>H100+H95+H94+H90</f>
        <v>7645229</v>
      </c>
      <c r="I101" s="34">
        <f t="shared" si="3"/>
        <v>8.5543077767215543</v>
      </c>
    </row>
    <row r="102" spans="1:9" s="4" customFormat="1" ht="36.75" customHeight="1" x14ac:dyDescent="0.25">
      <c r="A102" s="28" t="s">
        <v>42</v>
      </c>
      <c r="B102" s="28" t="s">
        <v>109</v>
      </c>
      <c r="C102" s="28" t="s">
        <v>17</v>
      </c>
      <c r="D102" s="42">
        <v>59000</v>
      </c>
      <c r="E102" s="42">
        <v>0</v>
      </c>
      <c r="F102" s="42">
        <v>0</v>
      </c>
      <c r="G102" s="42">
        <v>0</v>
      </c>
      <c r="H102" s="43">
        <v>59000</v>
      </c>
      <c r="I102" s="32">
        <f t="shared" si="3"/>
        <v>6.6015571126328804E-2</v>
      </c>
    </row>
    <row r="103" spans="1:9" ht="15" customHeight="1" x14ac:dyDescent="0.2">
      <c r="A103" s="102" t="s">
        <v>43</v>
      </c>
      <c r="B103" s="102" t="s">
        <v>110</v>
      </c>
      <c r="C103" s="27" t="s">
        <v>15</v>
      </c>
      <c r="D103" s="40">
        <v>620449</v>
      </c>
      <c r="E103" s="40">
        <v>0</v>
      </c>
      <c r="F103" s="40">
        <v>0</v>
      </c>
      <c r="G103" s="40">
        <v>0</v>
      </c>
      <c r="H103" s="41">
        <v>620449</v>
      </c>
      <c r="I103" s="34">
        <f t="shared" si="3"/>
        <v>0.69422534050439966</v>
      </c>
    </row>
    <row r="104" spans="1:9" ht="15" customHeight="1" x14ac:dyDescent="0.2">
      <c r="A104" s="102"/>
      <c r="B104" s="102"/>
      <c r="C104" s="27" t="s">
        <v>16</v>
      </c>
      <c r="D104" s="40">
        <v>184693</v>
      </c>
      <c r="E104" s="40">
        <v>0</v>
      </c>
      <c r="F104" s="40">
        <v>0</v>
      </c>
      <c r="G104" s="40">
        <v>0</v>
      </c>
      <c r="H104" s="41">
        <v>184693</v>
      </c>
      <c r="I104" s="34">
        <f t="shared" si="3"/>
        <v>0.20665447250906857</v>
      </c>
    </row>
    <row r="105" spans="1:9" ht="15" customHeight="1" x14ac:dyDescent="0.2">
      <c r="A105" s="102"/>
      <c r="B105" s="102"/>
      <c r="C105" s="27" t="s">
        <v>17</v>
      </c>
      <c r="D105" s="40">
        <v>100000</v>
      </c>
      <c r="E105" s="40">
        <v>0</v>
      </c>
      <c r="F105" s="40">
        <v>0</v>
      </c>
      <c r="G105" s="40">
        <v>0</v>
      </c>
      <c r="H105" s="41">
        <v>100000</v>
      </c>
      <c r="I105" s="34">
        <f t="shared" si="3"/>
        <v>0.11189079851920136</v>
      </c>
    </row>
    <row r="106" spans="1:9" ht="15" customHeight="1" x14ac:dyDescent="0.2">
      <c r="A106" s="102"/>
      <c r="B106" s="102"/>
      <c r="C106" s="27" t="s">
        <v>19</v>
      </c>
      <c r="D106" s="40">
        <v>4000</v>
      </c>
      <c r="E106" s="40">
        <v>0</v>
      </c>
      <c r="F106" s="40">
        <v>0</v>
      </c>
      <c r="G106" s="40">
        <v>0</v>
      </c>
      <c r="H106" s="41">
        <v>4000</v>
      </c>
      <c r="I106" s="34">
        <f t="shared" si="3"/>
        <v>4.4756319407680545E-3</v>
      </c>
    </row>
    <row r="107" spans="1:9" ht="15" customHeight="1" x14ac:dyDescent="0.2">
      <c r="A107" s="102"/>
      <c r="B107" s="102" t="s">
        <v>111</v>
      </c>
      <c r="C107" s="102"/>
      <c r="D107" s="40">
        <v>909142</v>
      </c>
      <c r="E107" s="40">
        <v>0</v>
      </c>
      <c r="F107" s="40">
        <v>0</v>
      </c>
      <c r="G107" s="40">
        <v>0</v>
      </c>
      <c r="H107" s="41">
        <v>909142</v>
      </c>
      <c r="I107" s="34">
        <f t="shared" si="3"/>
        <v>1.0172462434734377</v>
      </c>
    </row>
    <row r="108" spans="1:9" ht="15" customHeight="1" x14ac:dyDescent="0.2">
      <c r="A108" s="102"/>
      <c r="B108" s="102" t="s">
        <v>112</v>
      </c>
      <c r="C108" s="27" t="s">
        <v>15</v>
      </c>
      <c r="D108" s="40">
        <v>1938842</v>
      </c>
      <c r="E108" s="40">
        <v>9895</v>
      </c>
      <c r="F108" s="40">
        <v>0</v>
      </c>
      <c r="G108" s="40">
        <v>58458</v>
      </c>
      <c r="H108" s="41">
        <v>2007195</v>
      </c>
      <c r="I108" s="34">
        <f t="shared" si="3"/>
        <v>2.245866513337484</v>
      </c>
    </row>
    <row r="109" spans="1:9" ht="15" customHeight="1" x14ac:dyDescent="0.2">
      <c r="A109" s="102"/>
      <c r="B109" s="102"/>
      <c r="C109" s="27" t="s">
        <v>16</v>
      </c>
      <c r="D109" s="40">
        <v>802642</v>
      </c>
      <c r="E109" s="40">
        <v>39040</v>
      </c>
      <c r="F109" s="40">
        <v>0</v>
      </c>
      <c r="G109" s="40">
        <v>0</v>
      </c>
      <c r="H109" s="41">
        <v>841682</v>
      </c>
      <c r="I109" s="34">
        <f t="shared" si="3"/>
        <v>0.94176471079238444</v>
      </c>
    </row>
    <row r="110" spans="1:9" ht="15" customHeight="1" x14ac:dyDescent="0.2">
      <c r="A110" s="102"/>
      <c r="B110" s="102"/>
      <c r="C110" s="27" t="s">
        <v>19</v>
      </c>
      <c r="D110" s="40">
        <v>433490</v>
      </c>
      <c r="E110" s="40">
        <v>57710</v>
      </c>
      <c r="F110" s="40">
        <v>0</v>
      </c>
      <c r="G110" s="40">
        <v>0</v>
      </c>
      <c r="H110" s="41">
        <v>491200</v>
      </c>
      <c r="I110" s="34">
        <f t="shared" si="3"/>
        <v>0.54960760232631711</v>
      </c>
    </row>
    <row r="111" spans="1:9" ht="24" customHeight="1" x14ac:dyDescent="0.2">
      <c r="A111" s="102"/>
      <c r="B111" s="102"/>
      <c r="C111" s="27" t="s">
        <v>20</v>
      </c>
      <c r="D111" s="40">
        <v>600</v>
      </c>
      <c r="E111" s="40">
        <v>0</v>
      </c>
      <c r="F111" s="40">
        <v>0</v>
      </c>
      <c r="G111" s="40">
        <v>0</v>
      </c>
      <c r="H111" s="41">
        <v>600</v>
      </c>
      <c r="I111" s="34">
        <f t="shared" si="3"/>
        <v>6.7134479111520822E-4</v>
      </c>
    </row>
    <row r="112" spans="1:9" ht="38.25" customHeight="1" x14ac:dyDescent="0.2">
      <c r="A112" s="102"/>
      <c r="B112" s="102"/>
      <c r="C112" s="27" t="s">
        <v>21</v>
      </c>
      <c r="D112" s="40">
        <v>200</v>
      </c>
      <c r="E112" s="40">
        <v>0</v>
      </c>
      <c r="F112" s="40">
        <v>0</v>
      </c>
      <c r="G112" s="40">
        <v>1554</v>
      </c>
      <c r="H112" s="41">
        <v>1754</v>
      </c>
      <c r="I112" s="34">
        <f t="shared" si="3"/>
        <v>1.9625646060267921E-3</v>
      </c>
    </row>
    <row r="113" spans="1:9" ht="15" customHeight="1" x14ac:dyDescent="0.2">
      <c r="A113" s="102"/>
      <c r="B113" s="102" t="s">
        <v>113</v>
      </c>
      <c r="C113" s="102"/>
      <c r="D113" s="40">
        <v>3175774</v>
      </c>
      <c r="E113" s="40">
        <v>106645</v>
      </c>
      <c r="F113" s="40">
        <v>0</v>
      </c>
      <c r="G113" s="40">
        <v>60012</v>
      </c>
      <c r="H113" s="41">
        <v>3342431</v>
      </c>
      <c r="I113" s="34">
        <f t="shared" si="3"/>
        <v>3.7398727358533272</v>
      </c>
    </row>
    <row r="114" spans="1:9" ht="15" customHeight="1" x14ac:dyDescent="0.2">
      <c r="A114" s="102"/>
      <c r="B114" s="102" t="s">
        <v>114</v>
      </c>
      <c r="C114" s="27" t="s">
        <v>15</v>
      </c>
      <c r="D114" s="40">
        <v>1138</v>
      </c>
      <c r="E114" s="40">
        <v>50865</v>
      </c>
      <c r="F114" s="40">
        <v>0</v>
      </c>
      <c r="G114" s="40">
        <v>0</v>
      </c>
      <c r="H114" s="41">
        <v>52003</v>
      </c>
      <c r="I114" s="34">
        <f t="shared" si="3"/>
        <v>5.8186571953940287E-2</v>
      </c>
    </row>
    <row r="115" spans="1:9" ht="15" customHeight="1" x14ac:dyDescent="0.2">
      <c r="A115" s="102"/>
      <c r="B115" s="102"/>
      <c r="C115" s="27" t="s">
        <v>16</v>
      </c>
      <c r="D115" s="40">
        <v>23389</v>
      </c>
      <c r="E115" s="40">
        <v>100041</v>
      </c>
      <c r="F115" s="40">
        <v>0</v>
      </c>
      <c r="G115" s="40">
        <v>0</v>
      </c>
      <c r="H115" s="41">
        <v>123430</v>
      </c>
      <c r="I115" s="34">
        <f t="shared" si="3"/>
        <v>0.13810681261225025</v>
      </c>
    </row>
    <row r="116" spans="1:9" ht="15" customHeight="1" x14ac:dyDescent="0.2">
      <c r="A116" s="102"/>
      <c r="B116" s="102"/>
      <c r="C116" s="27" t="s">
        <v>19</v>
      </c>
      <c r="D116" s="40">
        <v>0</v>
      </c>
      <c r="E116" s="40">
        <v>317152</v>
      </c>
      <c r="F116" s="40">
        <v>0</v>
      </c>
      <c r="G116" s="40">
        <v>0</v>
      </c>
      <c r="H116" s="41">
        <v>317152</v>
      </c>
      <c r="I116" s="34">
        <f t="shared" si="3"/>
        <v>0.35486390531961753</v>
      </c>
    </row>
    <row r="117" spans="1:9" ht="25.5" customHeight="1" x14ac:dyDescent="0.2">
      <c r="A117" s="102"/>
      <c r="B117" s="102"/>
      <c r="C117" s="27" t="s">
        <v>20</v>
      </c>
      <c r="D117" s="40">
        <v>12500</v>
      </c>
      <c r="E117" s="40">
        <v>0</v>
      </c>
      <c r="F117" s="40">
        <v>0</v>
      </c>
      <c r="G117" s="40">
        <v>0</v>
      </c>
      <c r="H117" s="41">
        <v>12500</v>
      </c>
      <c r="I117" s="34">
        <f t="shared" si="3"/>
        <v>1.398634981490017E-2</v>
      </c>
    </row>
    <row r="118" spans="1:9" ht="15" customHeight="1" x14ac:dyDescent="0.2">
      <c r="A118" s="102"/>
      <c r="B118" s="102"/>
      <c r="C118" s="27" t="s">
        <v>21</v>
      </c>
      <c r="D118" s="40">
        <v>19364</v>
      </c>
      <c r="E118" s="40">
        <v>0</v>
      </c>
      <c r="F118" s="40">
        <v>0</v>
      </c>
      <c r="G118" s="40">
        <v>0</v>
      </c>
      <c r="H118" s="41">
        <v>19364</v>
      </c>
      <c r="I118" s="34">
        <f t="shared" si="3"/>
        <v>2.1666534225258154E-2</v>
      </c>
    </row>
    <row r="119" spans="1:9" ht="25.5" customHeight="1" x14ac:dyDescent="0.2">
      <c r="A119" s="102"/>
      <c r="B119" s="102" t="s">
        <v>115</v>
      </c>
      <c r="C119" s="102"/>
      <c r="D119" s="40">
        <v>56391</v>
      </c>
      <c r="E119" s="40">
        <v>468058</v>
      </c>
      <c r="F119" s="40">
        <v>0</v>
      </c>
      <c r="G119" s="40">
        <v>0</v>
      </c>
      <c r="H119" s="41">
        <v>524449</v>
      </c>
      <c r="I119" s="34">
        <f t="shared" si="3"/>
        <v>0.58681017392596635</v>
      </c>
    </row>
    <row r="120" spans="1:9" s="4" customFormat="1" ht="15" customHeight="1" x14ac:dyDescent="0.25">
      <c r="A120" s="106" t="s">
        <v>116</v>
      </c>
      <c r="B120" s="106"/>
      <c r="C120" s="106"/>
      <c r="D120" s="42">
        <v>4141307</v>
      </c>
      <c r="E120" s="42">
        <v>574703</v>
      </c>
      <c r="F120" s="42">
        <v>0</v>
      </c>
      <c r="G120" s="42">
        <v>60012</v>
      </c>
      <c r="H120" s="43">
        <v>4776022</v>
      </c>
      <c r="I120" s="32">
        <f t="shared" si="3"/>
        <v>5.3439291532527315</v>
      </c>
    </row>
    <row r="121" spans="1:9" ht="15" customHeight="1" x14ac:dyDescent="0.2">
      <c r="A121" s="102" t="s">
        <v>44</v>
      </c>
      <c r="B121" s="102" t="s">
        <v>117</v>
      </c>
      <c r="C121" s="27" t="s">
        <v>15</v>
      </c>
      <c r="D121" s="40">
        <v>7170608</v>
      </c>
      <c r="E121" s="40">
        <v>0</v>
      </c>
      <c r="F121" s="40">
        <v>0</v>
      </c>
      <c r="G121" s="40">
        <v>1858650</v>
      </c>
      <c r="H121" s="41">
        <v>9029258</v>
      </c>
      <c r="I121" s="34">
        <f t="shared" si="3"/>
        <v>10.102908876558871</v>
      </c>
    </row>
    <row r="122" spans="1:9" ht="15" customHeight="1" x14ac:dyDescent="0.2">
      <c r="A122" s="102"/>
      <c r="B122" s="102"/>
      <c r="C122" s="27" t="s">
        <v>16</v>
      </c>
      <c r="D122" s="40">
        <v>878965</v>
      </c>
      <c r="E122" s="40">
        <v>0</v>
      </c>
      <c r="F122" s="40">
        <v>0</v>
      </c>
      <c r="G122" s="40">
        <v>0</v>
      </c>
      <c r="H122" s="41">
        <v>878965</v>
      </c>
      <c r="I122" s="34">
        <f t="shared" si="3"/>
        <v>0.98348095720429829</v>
      </c>
    </row>
    <row r="123" spans="1:9" ht="15" customHeight="1" x14ac:dyDescent="0.2">
      <c r="A123" s="102"/>
      <c r="B123" s="102"/>
      <c r="C123" s="27" t="s">
        <v>17</v>
      </c>
      <c r="D123" s="40">
        <v>147000</v>
      </c>
      <c r="E123" s="40">
        <v>0</v>
      </c>
      <c r="F123" s="40">
        <v>0</v>
      </c>
      <c r="G123" s="40">
        <v>0</v>
      </c>
      <c r="H123" s="41">
        <v>147000</v>
      </c>
      <c r="I123" s="34">
        <f t="shared" si="3"/>
        <v>0.164479473823226</v>
      </c>
    </row>
    <row r="124" spans="1:9" ht="15" customHeight="1" x14ac:dyDescent="0.2">
      <c r="A124" s="102"/>
      <c r="B124" s="102"/>
      <c r="C124" s="27" t="s">
        <v>19</v>
      </c>
      <c r="D124" s="40">
        <v>40733</v>
      </c>
      <c r="E124" s="40">
        <v>0</v>
      </c>
      <c r="F124" s="40">
        <v>0</v>
      </c>
      <c r="G124" s="40">
        <v>0</v>
      </c>
      <c r="H124" s="41">
        <v>40733</v>
      </c>
      <c r="I124" s="34">
        <f t="shared" si="3"/>
        <v>4.557647896082629E-2</v>
      </c>
    </row>
    <row r="125" spans="1:9" ht="27.75" customHeight="1" x14ac:dyDescent="0.2">
      <c r="A125" s="102"/>
      <c r="B125" s="102"/>
      <c r="C125" s="27" t="s">
        <v>20</v>
      </c>
      <c r="D125" s="40">
        <v>13400</v>
      </c>
      <c r="E125" s="40">
        <v>0</v>
      </c>
      <c r="F125" s="40">
        <v>0</v>
      </c>
      <c r="G125" s="40">
        <v>0</v>
      </c>
      <c r="H125" s="41">
        <v>13400</v>
      </c>
      <c r="I125" s="34">
        <f t="shared" si="3"/>
        <v>1.4993367001572984E-2</v>
      </c>
    </row>
    <row r="126" spans="1:9" ht="28.5" customHeight="1" x14ac:dyDescent="0.2">
      <c r="A126" s="102"/>
      <c r="B126" s="102"/>
      <c r="C126" s="27" t="s">
        <v>21</v>
      </c>
      <c r="D126" s="40">
        <v>407350</v>
      </c>
      <c r="E126" s="40">
        <v>0</v>
      </c>
      <c r="F126" s="40">
        <v>0</v>
      </c>
      <c r="G126" s="40">
        <v>0</v>
      </c>
      <c r="H126" s="41">
        <v>407350</v>
      </c>
      <c r="I126" s="34">
        <f t="shared" si="3"/>
        <v>0.45578716776796679</v>
      </c>
    </row>
    <row r="127" spans="1:9" ht="18" customHeight="1" x14ac:dyDescent="0.2">
      <c r="A127" s="102"/>
      <c r="B127" s="102" t="s">
        <v>118</v>
      </c>
      <c r="C127" s="102"/>
      <c r="D127" s="40">
        <v>8658056</v>
      </c>
      <c r="E127" s="40">
        <v>0</v>
      </c>
      <c r="F127" s="40">
        <v>0</v>
      </c>
      <c r="G127" s="40">
        <v>1858650</v>
      </c>
      <c r="H127" s="41">
        <v>10516706</v>
      </c>
      <c r="I127" s="34">
        <f t="shared" si="3"/>
        <v>11.767226321316761</v>
      </c>
    </row>
    <row r="128" spans="1:9" ht="15" customHeight="1" x14ac:dyDescent="0.2">
      <c r="A128" s="102"/>
      <c r="B128" s="102" t="s">
        <v>119</v>
      </c>
      <c r="C128" s="27" t="s">
        <v>15</v>
      </c>
      <c r="D128" s="40">
        <v>3504908</v>
      </c>
      <c r="E128" s="40">
        <v>25643</v>
      </c>
      <c r="F128" s="40">
        <v>0</v>
      </c>
      <c r="G128" s="40">
        <v>11060953</v>
      </c>
      <c r="H128" s="41">
        <v>14591504</v>
      </c>
      <c r="I128" s="34">
        <f t="shared" si="3"/>
        <v>16.326550341561209</v>
      </c>
    </row>
    <row r="129" spans="1:9" ht="15" customHeight="1" x14ac:dyDescent="0.2">
      <c r="A129" s="102"/>
      <c r="B129" s="102"/>
      <c r="C129" s="27" t="s">
        <v>16</v>
      </c>
      <c r="D129" s="40">
        <v>2041501</v>
      </c>
      <c r="E129" s="40">
        <v>155910</v>
      </c>
      <c r="F129" s="40">
        <v>0</v>
      </c>
      <c r="G129" s="40">
        <v>199895</v>
      </c>
      <c r="H129" s="41">
        <v>2397306</v>
      </c>
      <c r="I129" s="34">
        <f t="shared" si="3"/>
        <v>2.6823648263487256</v>
      </c>
    </row>
    <row r="130" spans="1:9" ht="15" customHeight="1" x14ac:dyDescent="0.2">
      <c r="A130" s="102"/>
      <c r="B130" s="102"/>
      <c r="C130" s="27" t="s">
        <v>17</v>
      </c>
      <c r="D130" s="40">
        <v>17512</v>
      </c>
      <c r="E130" s="40">
        <v>0</v>
      </c>
      <c r="F130" s="40">
        <v>0</v>
      </c>
      <c r="G130" s="40">
        <v>0</v>
      </c>
      <c r="H130" s="41">
        <v>17512</v>
      </c>
      <c r="I130" s="34">
        <f t="shared" si="3"/>
        <v>1.9594316636682544E-2</v>
      </c>
    </row>
    <row r="131" spans="1:9" ht="15" customHeight="1" x14ac:dyDescent="0.2">
      <c r="A131" s="102"/>
      <c r="B131" s="102"/>
      <c r="C131" s="27" t="s">
        <v>19</v>
      </c>
      <c r="D131" s="40">
        <f>161526+300000</f>
        <v>461526</v>
      </c>
      <c r="E131" s="40">
        <v>3011617</v>
      </c>
      <c r="F131" s="40">
        <v>0</v>
      </c>
      <c r="G131" s="40">
        <v>185460</v>
      </c>
      <c r="H131" s="41">
        <f>D131+E131+F131+G131</f>
        <v>3658603</v>
      </c>
      <c r="I131" s="34">
        <f t="shared" si="3"/>
        <v>4.0936401113474572</v>
      </c>
    </row>
    <row r="132" spans="1:9" ht="26.25" customHeight="1" x14ac:dyDescent="0.2">
      <c r="A132" s="102"/>
      <c r="B132" s="102"/>
      <c r="C132" s="27" t="s">
        <v>20</v>
      </c>
      <c r="D132" s="40">
        <v>0</v>
      </c>
      <c r="E132" s="40">
        <v>800</v>
      </c>
      <c r="F132" s="40">
        <v>0</v>
      </c>
      <c r="G132" s="40">
        <v>1200</v>
      </c>
      <c r="H132" s="41">
        <v>2000</v>
      </c>
      <c r="I132" s="34">
        <f t="shared" si="3"/>
        <v>2.2378159703840272E-3</v>
      </c>
    </row>
    <row r="133" spans="1:9" ht="15" customHeight="1" x14ac:dyDescent="0.2">
      <c r="A133" s="102"/>
      <c r="B133" s="102"/>
      <c r="C133" s="27" t="s">
        <v>21</v>
      </c>
      <c r="D133" s="40">
        <v>801200</v>
      </c>
      <c r="E133" s="40">
        <v>30775</v>
      </c>
      <c r="F133" s="40">
        <v>0</v>
      </c>
      <c r="G133" s="40">
        <v>0</v>
      </c>
      <c r="H133" s="41">
        <v>831975</v>
      </c>
      <c r="I133" s="34">
        <f t="shared" si="3"/>
        <v>0.9309034709801256</v>
      </c>
    </row>
    <row r="134" spans="1:9" ht="15" customHeight="1" x14ac:dyDescent="0.2">
      <c r="A134" s="102"/>
      <c r="B134" s="102"/>
      <c r="C134" s="27" t="s">
        <v>22</v>
      </c>
      <c r="D134" s="40">
        <v>0</v>
      </c>
      <c r="E134" s="40">
        <v>1057</v>
      </c>
      <c r="F134" s="40">
        <v>0</v>
      </c>
      <c r="G134" s="40">
        <v>0</v>
      </c>
      <c r="H134" s="41">
        <v>1057</v>
      </c>
      <c r="I134" s="34">
        <f t="shared" si="3"/>
        <v>1.1826857403479584E-3</v>
      </c>
    </row>
    <row r="135" spans="1:9" ht="27" customHeight="1" x14ac:dyDescent="0.2">
      <c r="A135" s="102"/>
      <c r="B135" s="102" t="s">
        <v>120</v>
      </c>
      <c r="C135" s="102"/>
      <c r="D135" s="40">
        <f>D128+D129+D130+D131+D132+D133+D134</f>
        <v>6826647</v>
      </c>
      <c r="E135" s="40">
        <f>E128+E129+E130+E131+E132+E133+E134</f>
        <v>3225802</v>
      </c>
      <c r="F135" s="40">
        <f>F128+F129+F130+F131+F132+F133+F134</f>
        <v>0</v>
      </c>
      <c r="G135" s="40">
        <f>G128+G129+G130+G131+G132+G133+G134</f>
        <v>11447508</v>
      </c>
      <c r="H135" s="40">
        <f>H128+H129+H130+H131+H132+H133+H134</f>
        <v>21499957</v>
      </c>
      <c r="I135" s="34">
        <f t="shared" si="3"/>
        <v>24.056473568584931</v>
      </c>
    </row>
    <row r="136" spans="1:9" ht="15" customHeight="1" x14ac:dyDescent="0.2">
      <c r="A136" s="102"/>
      <c r="B136" s="102" t="s">
        <v>121</v>
      </c>
      <c r="C136" s="27" t="s">
        <v>15</v>
      </c>
      <c r="D136" s="40">
        <v>253947</v>
      </c>
      <c r="E136" s="40">
        <v>1544</v>
      </c>
      <c r="F136" s="40">
        <v>0</v>
      </c>
      <c r="G136" s="40">
        <v>269649</v>
      </c>
      <c r="H136" s="41">
        <v>525140</v>
      </c>
      <c r="I136" s="34">
        <f t="shared" si="3"/>
        <v>0.58758333934373408</v>
      </c>
    </row>
    <row r="137" spans="1:9" ht="15" customHeight="1" x14ac:dyDescent="0.2">
      <c r="A137" s="102"/>
      <c r="B137" s="102"/>
      <c r="C137" s="27" t="s">
        <v>16</v>
      </c>
      <c r="D137" s="40">
        <v>207525</v>
      </c>
      <c r="E137" s="40">
        <v>4372</v>
      </c>
      <c r="F137" s="40">
        <v>0</v>
      </c>
      <c r="G137" s="40">
        <v>0</v>
      </c>
      <c r="H137" s="41">
        <v>211897</v>
      </c>
      <c r="I137" s="34">
        <f t="shared" si="3"/>
        <v>0.23709324533823212</v>
      </c>
    </row>
    <row r="138" spans="1:9" ht="15" customHeight="1" x14ac:dyDescent="0.2">
      <c r="A138" s="102"/>
      <c r="B138" s="102"/>
      <c r="C138" s="27" t="s">
        <v>19</v>
      </c>
      <c r="D138" s="40">
        <v>2010</v>
      </c>
      <c r="E138" s="40">
        <v>0</v>
      </c>
      <c r="F138" s="40">
        <v>0</v>
      </c>
      <c r="G138" s="40">
        <v>0</v>
      </c>
      <c r="H138" s="41">
        <v>2010</v>
      </c>
      <c r="I138" s="34">
        <f t="shared" si="3"/>
        <v>2.2490050502359474E-3</v>
      </c>
    </row>
    <row r="139" spans="1:9" ht="24.75" customHeight="1" x14ac:dyDescent="0.2">
      <c r="A139" s="102"/>
      <c r="B139" s="102"/>
      <c r="C139" s="27" t="s">
        <v>20</v>
      </c>
      <c r="D139" s="40">
        <v>52000</v>
      </c>
      <c r="E139" s="40">
        <v>0</v>
      </c>
      <c r="F139" s="40">
        <v>0</v>
      </c>
      <c r="G139" s="40">
        <v>0</v>
      </c>
      <c r="H139" s="41">
        <v>52000</v>
      </c>
      <c r="I139" s="34">
        <f t="shared" si="3"/>
        <v>5.8183215229984708E-2</v>
      </c>
    </row>
    <row r="140" spans="1:9" ht="21" customHeight="1" x14ac:dyDescent="0.2">
      <c r="A140" s="102"/>
      <c r="B140" s="102" t="s">
        <v>122</v>
      </c>
      <c r="C140" s="102"/>
      <c r="D140" s="40">
        <v>515482</v>
      </c>
      <c r="E140" s="40">
        <v>5916</v>
      </c>
      <c r="F140" s="40">
        <v>0</v>
      </c>
      <c r="G140" s="40">
        <v>269649</v>
      </c>
      <c r="H140" s="41">
        <v>791047</v>
      </c>
      <c r="I140" s="34">
        <f t="shared" si="3"/>
        <v>0.8851088049621868</v>
      </c>
    </row>
    <row r="141" spans="1:9" ht="25.5" customHeight="1" x14ac:dyDescent="0.2">
      <c r="A141" s="102"/>
      <c r="B141" s="107" t="s">
        <v>123</v>
      </c>
      <c r="C141" s="108"/>
      <c r="D141" s="40">
        <v>7042129</v>
      </c>
      <c r="E141" s="40">
        <v>3231718</v>
      </c>
      <c r="F141" s="40">
        <v>0</v>
      </c>
      <c r="G141" s="40">
        <v>11717157</v>
      </c>
      <c r="H141" s="41">
        <v>21991004</v>
      </c>
      <c r="I141" s="34">
        <f t="shared" si="3"/>
        <v>24.605909977989512</v>
      </c>
    </row>
    <row r="142" spans="1:9" ht="15" customHeight="1" x14ac:dyDescent="0.2">
      <c r="A142" s="102"/>
      <c r="B142" s="102" t="s">
        <v>124</v>
      </c>
      <c r="C142" s="27" t="s">
        <v>15</v>
      </c>
      <c r="D142" s="40">
        <v>668067</v>
      </c>
      <c r="E142" s="40">
        <v>0</v>
      </c>
      <c r="F142" s="40">
        <v>0</v>
      </c>
      <c r="G142" s="40">
        <v>1573477</v>
      </c>
      <c r="H142" s="41">
        <v>2241544</v>
      </c>
      <c r="I142" s="34">
        <f t="shared" si="3"/>
        <v>2.5080814807592473</v>
      </c>
    </row>
    <row r="143" spans="1:9" ht="15" customHeight="1" x14ac:dyDescent="0.2">
      <c r="A143" s="102"/>
      <c r="B143" s="102"/>
      <c r="C143" s="27" t="s">
        <v>16</v>
      </c>
      <c r="D143" s="40">
        <v>260203</v>
      </c>
      <c r="E143" s="40">
        <v>0</v>
      </c>
      <c r="F143" s="40">
        <v>0</v>
      </c>
      <c r="G143" s="40">
        <v>0</v>
      </c>
      <c r="H143" s="41">
        <v>260203</v>
      </c>
      <c r="I143" s="34">
        <f t="shared" si="3"/>
        <v>0.29114321447091751</v>
      </c>
    </row>
    <row r="144" spans="1:9" ht="15" customHeight="1" x14ac:dyDescent="0.2">
      <c r="A144" s="102"/>
      <c r="B144" s="102"/>
      <c r="C144" s="27" t="s">
        <v>19</v>
      </c>
      <c r="D144" s="40">
        <v>18381</v>
      </c>
      <c r="E144" s="40">
        <v>0</v>
      </c>
      <c r="F144" s="40">
        <v>0</v>
      </c>
      <c r="G144" s="40">
        <v>0</v>
      </c>
      <c r="H144" s="41">
        <v>18381</v>
      </c>
      <c r="I144" s="34">
        <f t="shared" si="3"/>
        <v>2.0566647675814405E-2</v>
      </c>
    </row>
    <row r="145" spans="1:9" ht="24" customHeight="1" x14ac:dyDescent="0.2">
      <c r="A145" s="102"/>
      <c r="B145" s="102"/>
      <c r="C145" s="27" t="s">
        <v>20</v>
      </c>
      <c r="D145" s="40">
        <v>3000</v>
      </c>
      <c r="E145" s="40">
        <v>0</v>
      </c>
      <c r="F145" s="40">
        <v>0</v>
      </c>
      <c r="G145" s="40">
        <v>0</v>
      </c>
      <c r="H145" s="41">
        <v>3000</v>
      </c>
      <c r="I145" s="34">
        <f t="shared" si="3"/>
        <v>3.3567239555760409E-3</v>
      </c>
    </row>
    <row r="146" spans="1:9" ht="15" customHeight="1" x14ac:dyDescent="0.2">
      <c r="A146" s="102"/>
      <c r="B146" s="102" t="s">
        <v>125</v>
      </c>
      <c r="C146" s="102"/>
      <c r="D146" s="40">
        <v>949651</v>
      </c>
      <c r="E146" s="40">
        <v>0</v>
      </c>
      <c r="F146" s="40">
        <v>0</v>
      </c>
      <c r="G146" s="40">
        <v>1573477</v>
      </c>
      <c r="H146" s="41">
        <v>2523128</v>
      </c>
      <c r="I146" s="34">
        <f t="shared" si="3"/>
        <v>2.8231480668615552</v>
      </c>
    </row>
    <row r="147" spans="1:9" ht="15" customHeight="1" x14ac:dyDescent="0.2">
      <c r="A147" s="102"/>
      <c r="B147" s="102" t="s">
        <v>126</v>
      </c>
      <c r="C147" s="27" t="s">
        <v>15</v>
      </c>
      <c r="D147" s="40">
        <v>82486</v>
      </c>
      <c r="E147" s="40">
        <v>0</v>
      </c>
      <c r="F147" s="40">
        <v>0</v>
      </c>
      <c r="G147" s="40">
        <v>0</v>
      </c>
      <c r="H147" s="41">
        <v>82486</v>
      </c>
      <c r="I147" s="34">
        <f t="shared" si="3"/>
        <v>9.2294244066548445E-2</v>
      </c>
    </row>
    <row r="148" spans="1:9" ht="15" customHeight="1" x14ac:dyDescent="0.2">
      <c r="A148" s="102"/>
      <c r="B148" s="102"/>
      <c r="C148" s="27" t="s">
        <v>16</v>
      </c>
      <c r="D148" s="40">
        <v>20386</v>
      </c>
      <c r="E148" s="40">
        <v>0</v>
      </c>
      <c r="F148" s="40">
        <v>0</v>
      </c>
      <c r="G148" s="40">
        <v>0</v>
      </c>
      <c r="H148" s="41">
        <v>20386</v>
      </c>
      <c r="I148" s="34">
        <f t="shared" si="3"/>
        <v>2.2810058186124391E-2</v>
      </c>
    </row>
    <row r="149" spans="1:9" ht="15" customHeight="1" x14ac:dyDescent="0.2">
      <c r="A149" s="102"/>
      <c r="B149" s="102" t="s">
        <v>127</v>
      </c>
      <c r="C149" s="102"/>
      <c r="D149" s="40">
        <v>102872</v>
      </c>
      <c r="E149" s="40">
        <v>0</v>
      </c>
      <c r="F149" s="40">
        <v>0</v>
      </c>
      <c r="G149" s="40">
        <v>0</v>
      </c>
      <c r="H149" s="41">
        <v>102872</v>
      </c>
      <c r="I149" s="34">
        <f t="shared" si="3"/>
        <v>0.11510430225267283</v>
      </c>
    </row>
    <row r="150" spans="1:9" ht="15" customHeight="1" x14ac:dyDescent="0.2">
      <c r="A150" s="102"/>
      <c r="B150" s="107" t="s">
        <v>128</v>
      </c>
      <c r="C150" s="108"/>
      <c r="D150" s="40">
        <v>1052523</v>
      </c>
      <c r="E150" s="40">
        <v>0</v>
      </c>
      <c r="F150" s="40">
        <v>0</v>
      </c>
      <c r="G150" s="40">
        <v>1573477</v>
      </c>
      <c r="H150" s="41">
        <v>2626000</v>
      </c>
      <c r="I150" s="34">
        <f t="shared" ref="I150:I194" si="4">H150*100/$H$194</f>
        <v>2.9382523691142279</v>
      </c>
    </row>
    <row r="151" spans="1:9" ht="15" customHeight="1" x14ac:dyDescent="0.2">
      <c r="A151" s="102"/>
      <c r="B151" s="102" t="s">
        <v>129</v>
      </c>
      <c r="C151" s="27" t="s">
        <v>15</v>
      </c>
      <c r="D151" s="40">
        <v>282599</v>
      </c>
      <c r="E151" s="40">
        <v>161265</v>
      </c>
      <c r="F151" s="40">
        <v>0</v>
      </c>
      <c r="G151" s="40">
        <v>0</v>
      </c>
      <c r="H151" s="41">
        <v>443864</v>
      </c>
      <c r="I151" s="34">
        <f t="shared" si="4"/>
        <v>0.49664297393926798</v>
      </c>
    </row>
    <row r="152" spans="1:9" ht="15" customHeight="1" x14ac:dyDescent="0.2">
      <c r="A152" s="102"/>
      <c r="B152" s="102"/>
      <c r="C152" s="27" t="s">
        <v>16</v>
      </c>
      <c r="D152" s="40">
        <v>1400560</v>
      </c>
      <c r="E152" s="40">
        <v>368516</v>
      </c>
      <c r="F152" s="40">
        <v>0</v>
      </c>
      <c r="G152" s="40">
        <v>474114</v>
      </c>
      <c r="H152" s="41">
        <v>2243190</v>
      </c>
      <c r="I152" s="34">
        <f t="shared" si="4"/>
        <v>2.5099232033028733</v>
      </c>
    </row>
    <row r="153" spans="1:9" ht="15" customHeight="1" x14ac:dyDescent="0.2">
      <c r="A153" s="102"/>
      <c r="B153" s="102"/>
      <c r="C153" s="27" t="s">
        <v>17</v>
      </c>
      <c r="D153" s="40">
        <v>158497</v>
      </c>
      <c r="E153" s="40">
        <v>0</v>
      </c>
      <c r="F153" s="40">
        <v>0</v>
      </c>
      <c r="G153" s="40">
        <v>0</v>
      </c>
      <c r="H153" s="41">
        <v>158497</v>
      </c>
      <c r="I153" s="34">
        <f t="shared" si="4"/>
        <v>0.1773435589289786</v>
      </c>
    </row>
    <row r="154" spans="1:9" ht="15" customHeight="1" x14ac:dyDescent="0.2">
      <c r="A154" s="102"/>
      <c r="B154" s="102"/>
      <c r="C154" s="27" t="s">
        <v>19</v>
      </c>
      <c r="D154" s="40">
        <v>861</v>
      </c>
      <c r="E154" s="40">
        <v>1750461</v>
      </c>
      <c r="F154" s="40">
        <v>0</v>
      </c>
      <c r="G154" s="40">
        <v>0</v>
      </c>
      <c r="H154" s="41">
        <v>1751322</v>
      </c>
      <c r="I154" s="34">
        <f t="shared" si="4"/>
        <v>1.9595681704424477</v>
      </c>
    </row>
    <row r="155" spans="1:9" ht="27" customHeight="1" x14ac:dyDescent="0.2">
      <c r="A155" s="102"/>
      <c r="B155" s="102"/>
      <c r="C155" s="27" t="s">
        <v>20</v>
      </c>
      <c r="D155" s="40">
        <v>129366</v>
      </c>
      <c r="E155" s="40">
        <v>0</v>
      </c>
      <c r="F155" s="40">
        <v>0</v>
      </c>
      <c r="G155" s="40">
        <v>0</v>
      </c>
      <c r="H155" s="41">
        <v>129366</v>
      </c>
      <c r="I155" s="34">
        <f t="shared" si="4"/>
        <v>0.14474865041235005</v>
      </c>
    </row>
    <row r="156" spans="1:9" ht="15" customHeight="1" x14ac:dyDescent="0.2">
      <c r="A156" s="102"/>
      <c r="B156" s="102" t="s">
        <v>130</v>
      </c>
      <c r="C156" s="102"/>
      <c r="D156" s="40">
        <v>1971883</v>
      </c>
      <c r="E156" s="40">
        <v>2280242</v>
      </c>
      <c r="F156" s="40">
        <v>0</v>
      </c>
      <c r="G156" s="40">
        <v>474114</v>
      </c>
      <c r="H156" s="41">
        <v>4726239</v>
      </c>
      <c r="I156" s="34">
        <f t="shared" si="4"/>
        <v>5.2882265570259177</v>
      </c>
    </row>
    <row r="157" spans="1:9" ht="15" customHeight="1" x14ac:dyDescent="0.2">
      <c r="A157" s="102"/>
      <c r="B157" s="102" t="s">
        <v>131</v>
      </c>
      <c r="C157" s="27" t="s">
        <v>15</v>
      </c>
      <c r="D157" s="40">
        <v>533959</v>
      </c>
      <c r="E157" s="40">
        <v>0</v>
      </c>
      <c r="F157" s="40">
        <v>0</v>
      </c>
      <c r="G157" s="40">
        <v>0</v>
      </c>
      <c r="H157" s="41">
        <v>533959</v>
      </c>
      <c r="I157" s="34">
        <f t="shared" si="4"/>
        <v>0.59745098886514247</v>
      </c>
    </row>
    <row r="158" spans="1:9" ht="15" customHeight="1" x14ac:dyDescent="0.2">
      <c r="A158" s="102"/>
      <c r="B158" s="102"/>
      <c r="C158" s="27" t="s">
        <v>16</v>
      </c>
      <c r="D158" s="40">
        <v>141255</v>
      </c>
      <c r="E158" s="40">
        <v>0</v>
      </c>
      <c r="F158" s="40">
        <v>0</v>
      </c>
      <c r="G158" s="40">
        <v>71561</v>
      </c>
      <c r="H158" s="41">
        <v>212816</v>
      </c>
      <c r="I158" s="34">
        <f t="shared" si="4"/>
        <v>0.23812152177662357</v>
      </c>
    </row>
    <row r="159" spans="1:9" ht="15" customHeight="1" x14ac:dyDescent="0.2">
      <c r="A159" s="102"/>
      <c r="B159" s="102"/>
      <c r="C159" s="27" t="s">
        <v>19</v>
      </c>
      <c r="D159" s="40">
        <v>0</v>
      </c>
      <c r="E159" s="40">
        <v>0</v>
      </c>
      <c r="F159" s="40">
        <v>0</v>
      </c>
      <c r="G159" s="40">
        <v>0</v>
      </c>
      <c r="H159" s="41">
        <v>0</v>
      </c>
      <c r="I159" s="34">
        <f t="shared" si="4"/>
        <v>0</v>
      </c>
    </row>
    <row r="160" spans="1:9" ht="24.75" customHeight="1" x14ac:dyDescent="0.2">
      <c r="A160" s="102"/>
      <c r="B160" s="102"/>
      <c r="C160" s="27" t="s">
        <v>20</v>
      </c>
      <c r="D160" s="40">
        <v>38700</v>
      </c>
      <c r="E160" s="40">
        <v>0</v>
      </c>
      <c r="F160" s="40">
        <v>0</v>
      </c>
      <c r="G160" s="40">
        <v>0</v>
      </c>
      <c r="H160" s="41">
        <v>38700</v>
      </c>
      <c r="I160" s="34">
        <f t="shared" si="4"/>
        <v>4.3301739026930929E-2</v>
      </c>
    </row>
    <row r="161" spans="1:9" ht="15" customHeight="1" x14ac:dyDescent="0.2">
      <c r="A161" s="102"/>
      <c r="B161" s="102" t="s">
        <v>132</v>
      </c>
      <c r="C161" s="102"/>
      <c r="D161" s="40">
        <v>713914</v>
      </c>
      <c r="E161" s="40">
        <v>0</v>
      </c>
      <c r="F161" s="40">
        <v>0</v>
      </c>
      <c r="G161" s="40">
        <v>71561</v>
      </c>
      <c r="H161" s="41">
        <v>785475</v>
      </c>
      <c r="I161" s="34">
        <f t="shared" si="4"/>
        <v>0.87887424966869698</v>
      </c>
    </row>
    <row r="162" spans="1:9" s="4" customFormat="1" ht="15" customHeight="1" x14ac:dyDescent="0.25">
      <c r="A162" s="106" t="s">
        <v>133</v>
      </c>
      <c r="B162" s="106"/>
      <c r="C162" s="106"/>
      <c r="D162" s="42">
        <f>19438505+300000</f>
        <v>19738505</v>
      </c>
      <c r="E162" s="42">
        <v>5511960</v>
      </c>
      <c r="F162" s="42">
        <v>0</v>
      </c>
      <c r="G162" s="42">
        <v>15694959</v>
      </c>
      <c r="H162" s="43">
        <f>40645424+300000</f>
        <v>40945424</v>
      </c>
      <c r="I162" s="32">
        <f t="shared" si="4"/>
        <v>45.81416187067272</v>
      </c>
    </row>
    <row r="163" spans="1:9" ht="15" customHeight="1" x14ac:dyDescent="0.2">
      <c r="A163" s="102" t="s">
        <v>45</v>
      </c>
      <c r="B163" s="102" t="s">
        <v>134</v>
      </c>
      <c r="C163" s="27" t="s">
        <v>15</v>
      </c>
      <c r="D163" s="40">
        <v>665544</v>
      </c>
      <c r="E163" s="40">
        <v>0</v>
      </c>
      <c r="F163" s="40">
        <v>0</v>
      </c>
      <c r="G163" s="40">
        <v>673607</v>
      </c>
      <c r="H163" s="41">
        <v>1339151</v>
      </c>
      <c r="I163" s="34">
        <f t="shared" si="4"/>
        <v>1.4983867472778702</v>
      </c>
    </row>
    <row r="164" spans="1:9" ht="15" customHeight="1" x14ac:dyDescent="0.2">
      <c r="A164" s="102"/>
      <c r="B164" s="102"/>
      <c r="C164" s="27" t="s">
        <v>16</v>
      </c>
      <c r="D164" s="40">
        <v>138920</v>
      </c>
      <c r="E164" s="40">
        <v>13249</v>
      </c>
      <c r="F164" s="40">
        <v>0</v>
      </c>
      <c r="G164" s="40">
        <v>22184</v>
      </c>
      <c r="H164" s="41">
        <v>174353</v>
      </c>
      <c r="I164" s="34">
        <f t="shared" si="4"/>
        <v>0.19508496394218316</v>
      </c>
    </row>
    <row r="165" spans="1:9" ht="15" customHeight="1" x14ac:dyDescent="0.2">
      <c r="A165" s="102"/>
      <c r="B165" s="102"/>
      <c r="C165" s="27" t="s">
        <v>19</v>
      </c>
      <c r="D165" s="40">
        <v>4800</v>
      </c>
      <c r="E165" s="40">
        <v>0</v>
      </c>
      <c r="F165" s="40">
        <v>0</v>
      </c>
      <c r="G165" s="40">
        <v>10000</v>
      </c>
      <c r="H165" s="41">
        <v>14800</v>
      </c>
      <c r="I165" s="34">
        <f t="shared" si="4"/>
        <v>1.6559838180841804E-2</v>
      </c>
    </row>
    <row r="166" spans="1:9" ht="27" customHeight="1" x14ac:dyDescent="0.2">
      <c r="A166" s="102"/>
      <c r="B166" s="102"/>
      <c r="C166" s="27" t="s">
        <v>20</v>
      </c>
      <c r="D166" s="40">
        <v>178710</v>
      </c>
      <c r="E166" s="40">
        <v>124203</v>
      </c>
      <c r="F166" s="40">
        <v>0</v>
      </c>
      <c r="G166" s="40">
        <v>36120</v>
      </c>
      <c r="H166" s="41">
        <v>339033</v>
      </c>
      <c r="I166" s="34">
        <f t="shared" si="4"/>
        <v>0.37934673094360399</v>
      </c>
    </row>
    <row r="167" spans="1:9" ht="26.25" customHeight="1" x14ac:dyDescent="0.2">
      <c r="A167" s="102"/>
      <c r="B167" s="102"/>
      <c r="C167" s="27" t="s">
        <v>21</v>
      </c>
      <c r="D167" s="40">
        <v>0</v>
      </c>
      <c r="E167" s="40">
        <v>5440</v>
      </c>
      <c r="F167" s="40">
        <v>0</v>
      </c>
      <c r="G167" s="40">
        <v>0</v>
      </c>
      <c r="H167" s="41">
        <v>5440</v>
      </c>
      <c r="I167" s="34">
        <f t="shared" si="4"/>
        <v>6.0868594394445545E-3</v>
      </c>
    </row>
    <row r="168" spans="1:9" ht="15" customHeight="1" x14ac:dyDescent="0.2">
      <c r="A168" s="102"/>
      <c r="B168" s="102" t="s">
        <v>135</v>
      </c>
      <c r="C168" s="102"/>
      <c r="D168" s="40">
        <v>987974</v>
      </c>
      <c r="E168" s="40">
        <v>142892</v>
      </c>
      <c r="F168" s="40">
        <v>0</v>
      </c>
      <c r="G168" s="40">
        <v>741911</v>
      </c>
      <c r="H168" s="41">
        <v>1872777</v>
      </c>
      <c r="I168" s="34">
        <f t="shared" si="4"/>
        <v>2.0954651397839439</v>
      </c>
    </row>
    <row r="169" spans="1:9" ht="15" customHeight="1" x14ac:dyDescent="0.2">
      <c r="A169" s="102"/>
      <c r="B169" s="102" t="s">
        <v>136</v>
      </c>
      <c r="C169" s="27" t="s">
        <v>15</v>
      </c>
      <c r="D169" s="40">
        <v>3054552</v>
      </c>
      <c r="E169" s="40">
        <v>0</v>
      </c>
      <c r="F169" s="40">
        <v>0</v>
      </c>
      <c r="G169" s="40">
        <v>0</v>
      </c>
      <c r="H169" s="41">
        <v>3054552</v>
      </c>
      <c r="I169" s="34">
        <f t="shared" si="4"/>
        <v>3.4177626239842356</v>
      </c>
    </row>
    <row r="170" spans="1:9" ht="15" customHeight="1" x14ac:dyDescent="0.2">
      <c r="A170" s="102"/>
      <c r="B170" s="102"/>
      <c r="C170" s="27" t="s">
        <v>16</v>
      </c>
      <c r="D170" s="40">
        <v>1828067</v>
      </c>
      <c r="E170" s="40">
        <v>0</v>
      </c>
      <c r="F170" s="40">
        <v>0</v>
      </c>
      <c r="G170" s="40">
        <v>0</v>
      </c>
      <c r="H170" s="41">
        <v>1828067</v>
      </c>
      <c r="I170" s="34">
        <f t="shared" si="4"/>
        <v>2.045438763766009</v>
      </c>
    </row>
    <row r="171" spans="1:9" ht="15" customHeight="1" x14ac:dyDescent="0.2">
      <c r="A171" s="102"/>
      <c r="B171" s="102"/>
      <c r="C171" s="27" t="s">
        <v>17</v>
      </c>
      <c r="D171" s="40">
        <v>16656</v>
      </c>
      <c r="E171" s="40">
        <v>0</v>
      </c>
      <c r="F171" s="40">
        <v>0</v>
      </c>
      <c r="G171" s="40">
        <v>0</v>
      </c>
      <c r="H171" s="41">
        <v>16656</v>
      </c>
      <c r="I171" s="34">
        <f t="shared" si="4"/>
        <v>1.8636531401358181E-2</v>
      </c>
    </row>
    <row r="172" spans="1:9" ht="15" customHeight="1" x14ac:dyDescent="0.2">
      <c r="A172" s="102"/>
      <c r="B172" s="102"/>
      <c r="C172" s="27" t="s">
        <v>19</v>
      </c>
      <c r="D172" s="40">
        <v>378583</v>
      </c>
      <c r="E172" s="40">
        <v>0</v>
      </c>
      <c r="F172" s="40">
        <v>0</v>
      </c>
      <c r="G172" s="40">
        <v>0</v>
      </c>
      <c r="H172" s="41">
        <v>378583</v>
      </c>
      <c r="I172" s="34">
        <f t="shared" si="4"/>
        <v>0.42359954175794812</v>
      </c>
    </row>
    <row r="173" spans="1:9" ht="24.75" customHeight="1" x14ac:dyDescent="0.2">
      <c r="A173" s="102"/>
      <c r="B173" s="102"/>
      <c r="C173" s="27" t="s">
        <v>20</v>
      </c>
      <c r="D173" s="40">
        <v>483534</v>
      </c>
      <c r="E173" s="40">
        <v>0</v>
      </c>
      <c r="F173" s="40">
        <v>0</v>
      </c>
      <c r="G173" s="40">
        <v>0</v>
      </c>
      <c r="H173" s="41">
        <v>483534</v>
      </c>
      <c r="I173" s="34">
        <f t="shared" si="4"/>
        <v>0.5410300537118351</v>
      </c>
    </row>
    <row r="174" spans="1:9" ht="15" customHeight="1" x14ac:dyDescent="0.2">
      <c r="A174" s="102"/>
      <c r="B174" s="102" t="s">
        <v>137</v>
      </c>
      <c r="C174" s="102"/>
      <c r="D174" s="40">
        <v>5761392</v>
      </c>
      <c r="E174" s="40">
        <v>0</v>
      </c>
      <c r="F174" s="40">
        <v>0</v>
      </c>
      <c r="G174" s="40">
        <v>0</v>
      </c>
      <c r="H174" s="41">
        <v>5761392</v>
      </c>
      <c r="I174" s="34">
        <f t="shared" si="4"/>
        <v>6.4464675146213857</v>
      </c>
    </row>
    <row r="175" spans="1:9" ht="27.75" customHeight="1" x14ac:dyDescent="0.2">
      <c r="A175" s="102"/>
      <c r="B175" s="27" t="s">
        <v>138</v>
      </c>
      <c r="C175" s="27" t="s">
        <v>20</v>
      </c>
      <c r="D175" s="40">
        <v>40000</v>
      </c>
      <c r="E175" s="40">
        <v>0</v>
      </c>
      <c r="F175" s="40">
        <v>0</v>
      </c>
      <c r="G175" s="40">
        <v>0</v>
      </c>
      <c r="H175" s="41">
        <v>40000</v>
      </c>
      <c r="I175" s="34">
        <f t="shared" si="4"/>
        <v>4.4756319407680545E-2</v>
      </c>
    </row>
    <row r="176" spans="1:9" ht="15" customHeight="1" x14ac:dyDescent="0.2">
      <c r="A176" s="102"/>
      <c r="B176" s="102" t="s">
        <v>139</v>
      </c>
      <c r="C176" s="27" t="s">
        <v>15</v>
      </c>
      <c r="D176" s="40">
        <v>509576</v>
      </c>
      <c r="E176" s="40">
        <v>13702</v>
      </c>
      <c r="F176" s="40">
        <v>0</v>
      </c>
      <c r="G176" s="40">
        <v>0</v>
      </c>
      <c r="H176" s="41">
        <v>523278</v>
      </c>
      <c r="I176" s="34">
        <f t="shared" si="4"/>
        <v>0.58549993267530653</v>
      </c>
    </row>
    <row r="177" spans="1:9" ht="15" customHeight="1" x14ac:dyDescent="0.2">
      <c r="A177" s="102"/>
      <c r="B177" s="102"/>
      <c r="C177" s="27" t="s">
        <v>16</v>
      </c>
      <c r="D177" s="40">
        <v>81796</v>
      </c>
      <c r="E177" s="40">
        <v>54461</v>
      </c>
      <c r="F177" s="40">
        <v>0</v>
      </c>
      <c r="G177" s="40">
        <v>0</v>
      </c>
      <c r="H177" s="41">
        <v>136257</v>
      </c>
      <c r="I177" s="34">
        <f t="shared" si="4"/>
        <v>0.1524590453383082</v>
      </c>
    </row>
    <row r="178" spans="1:9" ht="15" customHeight="1" x14ac:dyDescent="0.2">
      <c r="A178" s="102"/>
      <c r="B178" s="102"/>
      <c r="C178" s="27" t="s">
        <v>19</v>
      </c>
      <c r="D178" s="40">
        <v>1700</v>
      </c>
      <c r="E178" s="40">
        <v>182829</v>
      </c>
      <c r="F178" s="40">
        <v>0</v>
      </c>
      <c r="G178" s="40">
        <v>0</v>
      </c>
      <c r="H178" s="41">
        <v>184529</v>
      </c>
      <c r="I178" s="34">
        <f t="shared" si="4"/>
        <v>0.20647097159949709</v>
      </c>
    </row>
    <row r="179" spans="1:9" ht="27" customHeight="1" x14ac:dyDescent="0.2">
      <c r="A179" s="102"/>
      <c r="B179" s="102"/>
      <c r="C179" s="27" t="s">
        <v>20</v>
      </c>
      <c r="D179" s="40">
        <v>756086</v>
      </c>
      <c r="E179" s="40">
        <v>0</v>
      </c>
      <c r="F179" s="40">
        <v>0</v>
      </c>
      <c r="G179" s="40">
        <v>0</v>
      </c>
      <c r="H179" s="41">
        <v>756086</v>
      </c>
      <c r="I179" s="34">
        <f t="shared" si="4"/>
        <v>0.84599066289188884</v>
      </c>
    </row>
    <row r="180" spans="1:9" ht="15" customHeight="1" x14ac:dyDescent="0.2">
      <c r="A180" s="102"/>
      <c r="B180" s="102" t="s">
        <v>140</v>
      </c>
      <c r="C180" s="102"/>
      <c r="D180" s="40">
        <v>1349158</v>
      </c>
      <c r="E180" s="40">
        <v>250992</v>
      </c>
      <c r="F180" s="40">
        <v>0</v>
      </c>
      <c r="G180" s="40">
        <v>0</v>
      </c>
      <c r="H180" s="41">
        <v>1600150</v>
      </c>
      <c r="I180" s="34">
        <f t="shared" si="4"/>
        <v>1.7904206125050006</v>
      </c>
    </row>
    <row r="181" spans="1:9" ht="25.5" customHeight="1" x14ac:dyDescent="0.2">
      <c r="A181" s="102"/>
      <c r="B181" s="27" t="s">
        <v>141</v>
      </c>
      <c r="C181" s="27" t="s">
        <v>20</v>
      </c>
      <c r="D181" s="40">
        <v>86368</v>
      </c>
      <c r="E181" s="40">
        <v>0</v>
      </c>
      <c r="F181" s="40">
        <v>0</v>
      </c>
      <c r="G181" s="40">
        <v>0</v>
      </c>
      <c r="H181" s="41">
        <v>86368</v>
      </c>
      <c r="I181" s="34">
        <f t="shared" si="4"/>
        <v>9.6637844865063841E-2</v>
      </c>
    </row>
    <row r="182" spans="1:9" ht="15" customHeight="1" x14ac:dyDescent="0.2">
      <c r="A182" s="102"/>
      <c r="B182" s="102" t="s">
        <v>142</v>
      </c>
      <c r="C182" s="27" t="s">
        <v>15</v>
      </c>
      <c r="D182" s="40">
        <v>442699</v>
      </c>
      <c r="E182" s="40">
        <v>0</v>
      </c>
      <c r="F182" s="40">
        <v>0</v>
      </c>
      <c r="G182" s="40">
        <v>128</v>
      </c>
      <c r="H182" s="41">
        <v>442827</v>
      </c>
      <c r="I182" s="34">
        <f t="shared" si="4"/>
        <v>0.49548266635862381</v>
      </c>
    </row>
    <row r="183" spans="1:9" ht="15" customHeight="1" x14ac:dyDescent="0.2">
      <c r="A183" s="102"/>
      <c r="B183" s="102"/>
      <c r="C183" s="27" t="s">
        <v>16</v>
      </c>
      <c r="D183" s="40">
        <v>209943</v>
      </c>
      <c r="E183" s="40">
        <v>0</v>
      </c>
      <c r="F183" s="40">
        <v>0</v>
      </c>
      <c r="G183" s="40">
        <v>0</v>
      </c>
      <c r="H183" s="41">
        <v>209943</v>
      </c>
      <c r="I183" s="34">
        <f t="shared" si="4"/>
        <v>0.23490689913516694</v>
      </c>
    </row>
    <row r="184" spans="1:9" ht="15" customHeight="1" x14ac:dyDescent="0.2">
      <c r="A184" s="102"/>
      <c r="B184" s="102"/>
      <c r="C184" s="27" t="s">
        <v>19</v>
      </c>
      <c r="D184" s="40">
        <v>11270</v>
      </c>
      <c r="E184" s="40">
        <v>0</v>
      </c>
      <c r="F184" s="40">
        <v>0</v>
      </c>
      <c r="G184" s="40">
        <v>0</v>
      </c>
      <c r="H184" s="41">
        <v>11270</v>
      </c>
      <c r="I184" s="34">
        <f t="shared" si="4"/>
        <v>1.2610092993113994E-2</v>
      </c>
    </row>
    <row r="185" spans="1:9" ht="24.75" customHeight="1" x14ac:dyDescent="0.2">
      <c r="A185" s="102"/>
      <c r="B185" s="102"/>
      <c r="C185" s="27" t="s">
        <v>20</v>
      </c>
      <c r="D185" s="40">
        <v>182847</v>
      </c>
      <c r="E185" s="40">
        <v>0</v>
      </c>
      <c r="F185" s="40">
        <v>0</v>
      </c>
      <c r="G185" s="40">
        <v>0</v>
      </c>
      <c r="H185" s="41">
        <v>182847</v>
      </c>
      <c r="I185" s="34">
        <f t="shared" si="4"/>
        <v>0.20458896836840412</v>
      </c>
    </row>
    <row r="186" spans="1:9" ht="15" customHeight="1" x14ac:dyDescent="0.2">
      <c r="A186" s="102"/>
      <c r="B186" s="102" t="s">
        <v>143</v>
      </c>
      <c r="C186" s="102"/>
      <c r="D186" s="40">
        <v>846759</v>
      </c>
      <c r="E186" s="40">
        <v>0</v>
      </c>
      <c r="F186" s="40">
        <v>0</v>
      </c>
      <c r="G186" s="40">
        <v>128</v>
      </c>
      <c r="H186" s="41">
        <v>846887</v>
      </c>
      <c r="I186" s="34">
        <f t="shared" si="4"/>
        <v>0.94758862685530887</v>
      </c>
    </row>
    <row r="187" spans="1:9" ht="15" customHeight="1" x14ac:dyDescent="0.2">
      <c r="A187" s="102"/>
      <c r="B187" s="102" t="s">
        <v>144</v>
      </c>
      <c r="C187" s="27" t="s">
        <v>15</v>
      </c>
      <c r="D187" s="40">
        <v>1115497</v>
      </c>
      <c r="E187" s="40">
        <v>17016</v>
      </c>
      <c r="F187" s="40">
        <v>0</v>
      </c>
      <c r="G187" s="40">
        <v>14129</v>
      </c>
      <c r="H187" s="41">
        <v>1146642</v>
      </c>
      <c r="I187" s="34">
        <f t="shared" si="4"/>
        <v>1.2829868899565409</v>
      </c>
    </row>
    <row r="188" spans="1:9" ht="15" customHeight="1" x14ac:dyDescent="0.2">
      <c r="A188" s="102"/>
      <c r="B188" s="102"/>
      <c r="C188" s="27" t="s">
        <v>16</v>
      </c>
      <c r="D188" s="40">
        <v>45714</v>
      </c>
      <c r="E188" s="40">
        <v>106608</v>
      </c>
      <c r="F188" s="40">
        <v>0</v>
      </c>
      <c r="G188" s="40">
        <v>26606</v>
      </c>
      <c r="H188" s="41">
        <v>178928</v>
      </c>
      <c r="I188" s="34">
        <f t="shared" si="4"/>
        <v>0.20020396797443663</v>
      </c>
    </row>
    <row r="189" spans="1:9" ht="15" customHeight="1" x14ac:dyDescent="0.2">
      <c r="A189" s="102"/>
      <c r="B189" s="102"/>
      <c r="C189" s="27" t="s">
        <v>17</v>
      </c>
      <c r="D189" s="40">
        <v>0</v>
      </c>
      <c r="E189" s="40">
        <v>0</v>
      </c>
      <c r="F189" s="40">
        <v>0</v>
      </c>
      <c r="G189" s="40">
        <v>7874</v>
      </c>
      <c r="H189" s="41">
        <v>7874</v>
      </c>
      <c r="I189" s="34">
        <f t="shared" si="4"/>
        <v>8.8102814754019154E-3</v>
      </c>
    </row>
    <row r="190" spans="1:9" ht="15" customHeight="1" x14ac:dyDescent="0.2">
      <c r="A190" s="102"/>
      <c r="B190" s="102"/>
      <c r="C190" s="27" t="s">
        <v>19</v>
      </c>
      <c r="D190" s="40">
        <v>1350</v>
      </c>
      <c r="E190" s="40">
        <v>0</v>
      </c>
      <c r="F190" s="40">
        <v>0</v>
      </c>
      <c r="G190" s="40">
        <v>0</v>
      </c>
      <c r="H190" s="41">
        <v>1350</v>
      </c>
      <c r="I190" s="34">
        <f t="shared" si="4"/>
        <v>1.5105257800092184E-3</v>
      </c>
    </row>
    <row r="191" spans="1:9" ht="23.25" customHeight="1" x14ac:dyDescent="0.2">
      <c r="A191" s="102"/>
      <c r="B191" s="102"/>
      <c r="C191" s="27" t="s">
        <v>20</v>
      </c>
      <c r="D191" s="40">
        <v>108640</v>
      </c>
      <c r="E191" s="40">
        <v>1200</v>
      </c>
      <c r="F191" s="40">
        <v>0</v>
      </c>
      <c r="G191" s="40">
        <v>0</v>
      </c>
      <c r="H191" s="41">
        <v>109840</v>
      </c>
      <c r="I191" s="34">
        <f t="shared" si="4"/>
        <v>0.12290085309349078</v>
      </c>
    </row>
    <row r="192" spans="1:9" ht="15" customHeight="1" x14ac:dyDescent="0.2">
      <c r="A192" s="102"/>
      <c r="B192" s="102" t="s">
        <v>145</v>
      </c>
      <c r="C192" s="102"/>
      <c r="D192" s="40">
        <v>1271201</v>
      </c>
      <c r="E192" s="40">
        <v>124824</v>
      </c>
      <c r="F192" s="40">
        <v>0</v>
      </c>
      <c r="G192" s="40">
        <v>48609</v>
      </c>
      <c r="H192" s="41">
        <v>1444634</v>
      </c>
      <c r="I192" s="34">
        <f t="shared" si="4"/>
        <v>1.6164125182798794</v>
      </c>
    </row>
    <row r="193" spans="1:9" s="4" customFormat="1" ht="15" customHeight="1" x14ac:dyDescent="0.25">
      <c r="A193" s="106" t="s">
        <v>146</v>
      </c>
      <c r="B193" s="106"/>
      <c r="C193" s="106"/>
      <c r="D193" s="42">
        <v>10342852</v>
      </c>
      <c r="E193" s="42">
        <v>518708</v>
      </c>
      <c r="F193" s="42">
        <v>0</v>
      </c>
      <c r="G193" s="42">
        <v>790648</v>
      </c>
      <c r="H193" s="43">
        <v>11652208</v>
      </c>
      <c r="I193" s="32">
        <f t="shared" si="4"/>
        <v>13.037748576318263</v>
      </c>
    </row>
    <row r="194" spans="1:9" s="26" customFormat="1" ht="15" customHeight="1" x14ac:dyDescent="0.25">
      <c r="A194" s="110" t="s">
        <v>147</v>
      </c>
      <c r="B194" s="110"/>
      <c r="C194" s="110"/>
      <c r="D194" s="44">
        <f>50701454+722500-30000</f>
        <v>51393954</v>
      </c>
      <c r="E194" s="44">
        <f>17939896+30000</f>
        <v>17969896</v>
      </c>
      <c r="F194" s="44">
        <v>1780800</v>
      </c>
      <c r="G194" s="44">
        <v>18228204</v>
      </c>
      <c r="H194" s="45">
        <f>D194+E194+F194+G194</f>
        <v>89372854</v>
      </c>
      <c r="I194" s="46">
        <f t="shared" si="4"/>
        <v>100</v>
      </c>
    </row>
    <row r="196" spans="1:9" ht="15" customHeight="1" x14ac:dyDescent="0.3">
      <c r="A196" s="109" t="s">
        <v>148</v>
      </c>
      <c r="B196" s="109"/>
      <c r="C196" s="109"/>
      <c r="D196" s="109"/>
      <c r="E196" s="109"/>
      <c r="F196" s="109"/>
      <c r="G196" s="109"/>
      <c r="H196" s="109"/>
    </row>
    <row r="197" spans="1:9" ht="15" customHeight="1" x14ac:dyDescent="0.3">
      <c r="A197" s="109"/>
      <c r="B197" s="109"/>
      <c r="C197" s="109"/>
      <c r="D197" s="109"/>
      <c r="E197" s="109"/>
      <c r="F197" s="109"/>
      <c r="G197" s="109"/>
      <c r="H197" s="109"/>
    </row>
  </sheetData>
  <mergeCells count="101">
    <mergeCell ref="A196:H197"/>
    <mergeCell ref="B182:B185"/>
    <mergeCell ref="B186:C186"/>
    <mergeCell ref="B187:B191"/>
    <mergeCell ref="B192:C192"/>
    <mergeCell ref="A193:C193"/>
    <mergeCell ref="A194:C194"/>
    <mergeCell ref="B157:B160"/>
    <mergeCell ref="B161:C161"/>
    <mergeCell ref="A162:C162"/>
    <mergeCell ref="A163:A192"/>
    <mergeCell ref="B163:B167"/>
    <mergeCell ref="B168:C168"/>
    <mergeCell ref="B169:B173"/>
    <mergeCell ref="B174:C174"/>
    <mergeCell ref="B176:B179"/>
    <mergeCell ref="B180:C180"/>
    <mergeCell ref="A121:A161"/>
    <mergeCell ref="B121:B126"/>
    <mergeCell ref="B127:C127"/>
    <mergeCell ref="B128:B134"/>
    <mergeCell ref="B135:C135"/>
    <mergeCell ref="B136:B139"/>
    <mergeCell ref="B140:C140"/>
    <mergeCell ref="B141:C141"/>
    <mergeCell ref="B142:B145"/>
    <mergeCell ref="B146:C146"/>
    <mergeCell ref="B147:B148"/>
    <mergeCell ref="B149:C149"/>
    <mergeCell ref="B150:C150"/>
    <mergeCell ref="B151:B155"/>
    <mergeCell ref="B156:C156"/>
    <mergeCell ref="A120:C120"/>
    <mergeCell ref="A75:C75"/>
    <mergeCell ref="A76:A86"/>
    <mergeCell ref="B77:B79"/>
    <mergeCell ref="B80:C80"/>
    <mergeCell ref="B82:B85"/>
    <mergeCell ref="B86:C86"/>
    <mergeCell ref="A87:C87"/>
    <mergeCell ref="A88:A100"/>
    <mergeCell ref="B88:B89"/>
    <mergeCell ref="B90:C90"/>
    <mergeCell ref="B91:B93"/>
    <mergeCell ref="B94:C94"/>
    <mergeCell ref="B96:B99"/>
    <mergeCell ref="B100:C100"/>
    <mergeCell ref="A101:C101"/>
    <mergeCell ref="A103:A119"/>
    <mergeCell ref="B103:B106"/>
    <mergeCell ref="B107:C107"/>
    <mergeCell ref="B108:B112"/>
    <mergeCell ref="B113:C113"/>
    <mergeCell ref="B114:B118"/>
    <mergeCell ref="B119:C119"/>
    <mergeCell ref="A38:C38"/>
    <mergeCell ref="A39:A46"/>
    <mergeCell ref="B39:B41"/>
    <mergeCell ref="B42:C42"/>
    <mergeCell ref="B43:B45"/>
    <mergeCell ref="B46:C46"/>
    <mergeCell ref="A47:C47"/>
    <mergeCell ref="A48:A74"/>
    <mergeCell ref="B48:B53"/>
    <mergeCell ref="B54:C54"/>
    <mergeCell ref="B55:B57"/>
    <mergeCell ref="B58:C58"/>
    <mergeCell ref="B59:B60"/>
    <mergeCell ref="B61:C61"/>
    <mergeCell ref="B62:B63"/>
    <mergeCell ref="B64:C64"/>
    <mergeCell ref="A20:H20"/>
    <mergeCell ref="B65:B67"/>
    <mergeCell ref="B68:C68"/>
    <mergeCell ref="B69:B73"/>
    <mergeCell ref="B74:C74"/>
    <mergeCell ref="A14:C14"/>
    <mergeCell ref="A15:C15"/>
    <mergeCell ref="A16:C16"/>
    <mergeCell ref="A17:C17"/>
    <mergeCell ref="A18:C18"/>
    <mergeCell ref="A19:C19"/>
    <mergeCell ref="A21:A37"/>
    <mergeCell ref="B21:B25"/>
    <mergeCell ref="B26:C26"/>
    <mergeCell ref="B27:B30"/>
    <mergeCell ref="B31:C31"/>
    <mergeCell ref="B32:B33"/>
    <mergeCell ref="B34:C34"/>
    <mergeCell ref="B35:B36"/>
    <mergeCell ref="B37:C37"/>
    <mergeCell ref="I6:I7"/>
    <mergeCell ref="A8:I8"/>
    <mergeCell ref="D6:F6"/>
    <mergeCell ref="G6:G7"/>
    <mergeCell ref="H6:H7"/>
    <mergeCell ref="A10:C10"/>
    <mergeCell ref="A11:C11"/>
    <mergeCell ref="A12:C12"/>
    <mergeCell ref="A13:C13"/>
    <mergeCell ref="A6:C7"/>
  </mergeCells>
  <pageMargins left="0.59055118110236227" right="0.39370078740157483" top="0.39370078740157483" bottom="0.39370078740157483" header="0.19685039370078741" footer="0.19685039370078741"/>
  <pageSetup scale="97" firstPageNumber="0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1_pielikums_kopsavilkums</vt:lpstr>
      <vt:lpstr>1_pielikums_Funkcionālās_kateg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dagnija.spele</dc:creator>
  <cp:lastModifiedBy>Sanita Djadela</cp:lastModifiedBy>
  <cp:lastPrinted>2025-10-13T13:52:08Z</cp:lastPrinted>
  <dcterms:created xsi:type="dcterms:W3CDTF">2025-01-31T09:43:23Z</dcterms:created>
  <dcterms:modified xsi:type="dcterms:W3CDTF">2025-11-05T12:14:28Z</dcterms:modified>
</cp:coreProperties>
</file>